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Google Drive\FONDECUN\2020\PUBLICACIONES WEB\jilio\JULIAN\"/>
    </mc:Choice>
  </mc:AlternateContent>
  <workbookProtection workbookAlgorithmName="SHA-512" workbookHashValue="yZcS0VYYiOnqZc0lBr3U4lceSNTSdIUQ1NNI7w+0L07ot6D3Q80xSHGgf0lVELEnMRwvkgwRJLa+AhaNRUj9bg==" workbookSaltValue="LQ2zIADSfwzaHhK31d53bw==" workbookSpinCount="100000" lockStructure="1"/>
  <bookViews>
    <workbookView xWindow="-120" yWindow="-120" windowWidth="24240" windowHeight="13140" activeTab="3"/>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 name="_xlnm.Print_Area" localSheetId="1">'Estado SCI'!$A$1:$I$60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<sst xmlns="http://schemas.openxmlformats.org/spreadsheetml/2006/main" count="514" uniqueCount="236">
  <si>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</si>
  <si>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</si>
  <si>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</si>
  <si>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</si>
  <si>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</si>
  <si>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</si>
  <si>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</si>
  <si>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</si>
  <si>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</si>
  <si>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</si>
  <si>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</si>
  <si>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</si>
  <si>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</si>
  <si>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</si>
  <si>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</si>
  <si>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</si>
  <si>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</si>
  <si>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</si>
  <si>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</si>
  <si>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</si>
  <si>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</si>
  <si>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</si>
  <si>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</si>
  <si>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</si>
  <si>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</si>
  <si>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</si>
  <si>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</si>
  <si>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</si>
  <si>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</si>
  <si>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</si>
  <si>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</si>
  <si>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</si>
  <si>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</si>
  <si>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</si>
  <si>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</si>
  <si>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</si>
  <si>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</si>
  <si>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</si>
  <si>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</si>
  <si>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</si>
  <si>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</si>
  <si>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</si>
  <si>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</si>
  <si>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</si>
  <si>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</si>
  <si>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</si>
  <si>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</si>
  <si>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</si>
  <si>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</si>
  <si>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</si>
  <si>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</si>
  <si>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</si>
  <si>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</si>
  <si>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</si>
  <si>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</si>
  <si>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</si>
  <si>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</si>
  <si>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</si>
  <si>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</si>
  <si>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</si>
  <si>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</si>
  <si>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</si>
  <si>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</si>
  <si>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</si>
  <si>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</si>
  <si>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</si>
  <si>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</si>
  <si>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</si>
  <si>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</si>
  <si>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</si>
  <si>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</si>
  <si>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</si>
  <si>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</si>
  <si>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</si>
  <si>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</si>
  <si>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</si>
  <si>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</si>
  <si>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</si>
  <si>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</si>
  <si>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</si>
  <si>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</si>
  <si>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</si>
  <si>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</si>
  <si>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</si>
  <si>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</si>
  <si>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</si>
  <si>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</si>
  <si>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</si>
  <si>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</si>
  <si>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</si>
  <si>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</si>
  <si>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</si>
  <si>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</si>
  <si>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</si>
  <si>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</si>
  <si>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</si>
  <si>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</si>
  <si>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</si>
  <si>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</si>
  <si>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</si>
  <si>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</si>
  <si>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</si>
  <si>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</si>
  <si>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</si>
  <si>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</si>
  <si>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</si>
  <si>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</si>
  <si>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</si>
  <si>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</si>
  <si>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</si>
  <si>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</si>
  <si>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</si>
  <si>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</si>
  <si>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</si>
  <si>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</si>
  <si>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</si>
  <si>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</si>
  <si>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</si>
  <si>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</si>
  <si>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</si>
  <si>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</si>
  <si>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</si>
  <si>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</si>
  <si>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</si>
  <si>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</si>
  <si>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</si>
  <si>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</si>
  <si>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</si>
  <si>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</si>
  <si>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</si>
  <si>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</si>
  <si>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</si>
  <si>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</si>
  <si>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</si>
  <si>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</si>
  <si>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</si>
  <si>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</si>
  <si>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</si>
  <si>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</si>
  <si>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</si>
  <si>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</si>
  <si>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</si>
  <si>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</si>
  <si>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</si>
  <si>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</si>
  <si>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</si>
  <si>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</si>
  <si>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</si>
  <si>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</si>
  <si>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</si>
  <si>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</si>
  <si>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</si>
  <si>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</si>
  <si>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</si>
  <si>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</si>
  <si>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</si>
  <si>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</si>
  <si>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</si>
  <si>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</si>
  <si>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</si>
  <si>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</si>
  <si>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</si>
  <si>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</si>
  <si>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</si>
  <si>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</si>
  <si>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</si>
  <si>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</si>
  <si>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</si>
  <si>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</si>
  <si>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</si>
  <si>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</si>
  <si>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</si>
  <si>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</si>
  <si>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</si>
  <si>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</si>
  <si>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</si>
  <si>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</si>
  <si>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</si>
  <si>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</si>
  <si>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</si>
  <si>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</si>
  <si>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</si>
  <si>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</si>
  <si>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</si>
  <si>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</si>
  <si>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</si>
  <si>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</si>
  <si>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</si>
  <si>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</si>
  <si>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Se hizo revisión y verificación  de la documentación encontrando los siguientes documentos
Resolución  N° 016 de2019 Por medio del cual se adopta el Modelo Integrado de Gestión y Control 
Resolución N° 041 de 2019 Por medio del cual se crea el comité de Control Interno</t>
  </si>
  <si>
    <t>Se hizo verificación documental encontrando el "CÓDIGO DE INTEGRIDAD” aprobado mediante acta de reunión del
"Comité Institucional de Gestión y Desempeño de fecha 26 de septiembre de 2019</t>
  </si>
  <si>
    <t xml:space="preserve">Se hizo verificaicón docuemntal encoentrando el Plan Estratégico aprobado en sesión del Junta Directiva del mes de marzo de 2020
Plan de Acción 2020  Publicado en la página web https://www.fondecun.gov.co/Control-y-Transparencia/Plan-de-Acci%C3%B3n </t>
  </si>
  <si>
    <t>La entidad cuenta con una estructura organizacional formalizada y la  misma se encuentra publicada en la página web de la entidad
https://www.fondecun.gov.co/Nuestra-Compa%C3%B1%C3%ADa/Estructura-organigrama</t>
  </si>
  <si>
    <t>La entidad cuenta con manual de funciones que describe los empleos de la entidad y se encuentra publicada  en la página web de la entidad Decreto 213 de 2015 https://www.fondecun.gov.co/Portals/0/Documentos/ControlTransparencia/Manual-de-funciones.pdf?ver=2015-12-02-140249-303</t>
  </si>
  <si>
    <t>Se tienne establecidos  procesos y procedimientos, pero los mismos están siendo objeto de actualización, como soporte se tienen las reuniones de comité de MIPG y sus socializaciones</t>
  </si>
  <si>
    <t>Los servidores públicos están vinculados de acuerdo al marco normativo, se verificaron algunos documentos que  soportan estas vinculaciones.</t>
  </si>
  <si>
    <t>La entidad cuenta con el proceso de inducción y reinducción, el mismo se ha venido desarrollando de manera participativa y es validado a través del diligenciamiento de encuestas.
De igual manera  la administración dío  tramite  de consulta a sus servidores y actualizó su Plan de Bienestar y capacitación  para la vigencia 2020 aprobado por el Comite  Integrado de Gestión y Planeación MIPG</t>
  </si>
  <si>
    <t>La administración vienen presentando en oportunidad los infornes se verificó proceso establecido para presentación SIAOBSERVA</t>
  </si>
  <si>
    <t>De manera permanente se actualiza la pagina web con el propsoito de mantener informados a nuestros grupos de interés y se  realiza la publicación de infornes de gestión</t>
  </si>
  <si>
    <t>Se evidenció que se encuentra establecido en el Plan Anticorrupción y atención al ciudadano publicado en la pagina web de la entidad https://www.fondecun.gov.co/Portals/0/Documentos/ControlTransparencia/plananticorrupcion/plan_anticorrupci%C3%B3n_Fondecun_2020.pdf?ver=2020-07-16-073722-387</t>
  </si>
  <si>
    <t>Se  evidencia que en el trabajo que se está realizando en la actualización de los procesos, se tiene la identificación de riesgos externos que afectan negativamente la gestión de la entidad.</t>
  </si>
  <si>
    <t>Se tiene establecidos en identificados en la politica de seguridad de la información y constantemente se está actualizando.</t>
  </si>
  <si>
    <t>La entidad vienen trabajando en la implementación de reuniónes prirmarias al interior de los equipos de trabajo permitiendo generar acciones de mejora y autocontrol</t>
  </si>
  <si>
    <t>Permanentemente se generan estos espacios en pro del autocontrol en la ejecución funcional de las acciones</t>
  </si>
  <si>
    <t>Se evidencia el trabajo que la administración vienen realizando con  cada lider de equipo para la  toma acciones en el marco de la normatividad vigente que conlleva a evitar la materialización de los riesgos</t>
  </si>
  <si>
    <t>Con base a los informes que ha geenrado el organismo de control la administración actual de la entidad a tomado acciones en pro de mejorar sus procesos y evitar  que los riesgos se materialicen.
De igual manera la administración viene trabajando en la cultura de autocontrol</t>
  </si>
  <si>
    <t>En el marco de las acciones que  está implementando la administración viene trabajando en la actualización de la matriz de riesgosy en las acciones para mitigar su materialización. Lo anterior como buena práctica de administración de lo público</t>
  </si>
  <si>
    <t>Se cuenta documentado pero el mismo está en proceso de actualización permanente, aún más  en el marco del COVID19 la adminsitración ha tomado acciones de mitigación y socialización entre sus servidores</t>
  </si>
  <si>
    <t>la entidad cuenta con un Plan anticoruupción elaborado, socializado, publicado y con informes de seguimiento.</t>
  </si>
  <si>
    <t>La nueva administración ha venido implementando la cultra de autocontrol y en el marco de la misma el cuidado y manejo responsable de la información.
Igualmente cuenta con mecanismos de custodia de la misma</t>
  </si>
  <si>
    <t xml:space="preserve">La entidad ha venido implementando canales permanentes que permite la comunicación con los diferentes grupos de interés </t>
  </si>
  <si>
    <t>La entidad en el marco de la actualización de sus politicas ha venido implementando y dando lineamientos para el tratamiento de la información de carácter reservado</t>
  </si>
  <si>
    <t>La entidad está generando y publicando información  para los ciudadanos, organismos de control y demás grupos de interés</t>
  </si>
  <si>
    <t>En el marco de lasa cciones que la administración viene actualizando, trabaja por lograr sistematizar cada uno de sus procesos y mejorar el sistema de información con el que cuenta</t>
  </si>
  <si>
    <t>La entidad cuenta con esta información documentada, y la nueva adminsitración está trabajando en la propuesta de rediseño de la entidad que permita la actualización funcional y operativa de la entidad</t>
  </si>
  <si>
    <t>En el marco de la implementación de la cultura de autocontrol la administración de la entidad vienen trabajando en  mecanismos de evaluación y gestión</t>
  </si>
  <si>
    <t>La adminsitración viene implementando a través del Gerente y el  Comité Institucional de Coordinanción de Control internos mecanismos de monitoreo</t>
  </si>
  <si>
    <t>Como ejercicio de la identificación de esas medidas correctivas las adminsitración vienen trabajando en la actulización de procesoso e implementación de cultura de autocontrol  y seguimientos que permitan mejorar gestón y evitar la materialización de los riesgos</t>
  </si>
  <si>
    <t>Se evidencia el trabajo permanente que realiza la gerencia y equipo directivo para dar cumplimiento a las acciones suscritas en  los planes de mejoramiento</t>
  </si>
  <si>
    <t>La entidad participa en el Comité Departamental de Control Interno de Cundinamarca</t>
  </si>
  <si>
    <t>En el marco de la implementación y actualzación de los procesos y procedimientos se viene trabajando  en esas acciones que permitan mitigar la materialización de los riesgos</t>
  </si>
  <si>
    <t>Si se gestionan y  la adminsitración lo ha priorizado en  la implementación y actualización de los procesos y procedimientos se viene trabajando  en esas acciones que permitan mitigar la materialización de los riesgos</t>
  </si>
  <si>
    <t>En el marco de la implementación y actualización de los procesos y procedimientos se viene trabajando  en esas acciones que permitan mitigar la materialización de los riesgos</t>
  </si>
  <si>
    <r>
      <rPr>
        <b/>
        <u/>
        <sz val="12"/>
        <color theme="0"/>
        <rFont val="Arial Narrow"/>
        <family val="2"/>
      </rPr>
      <t xml:space="preserve"> Estado actual:</t>
    </r>
    <r>
      <rPr>
        <b/>
        <sz val="12"/>
        <color theme="0"/>
        <rFont val="Arial Narrow"/>
        <family val="2"/>
      </rPr>
      <t xml:space="preserve"> Explicacion de las Debilidades y/o Fortalezas encontradas en cada componente</t>
    </r>
  </si>
  <si>
    <t>La entidad cuenta con el proceso de desvinculación de servidores pero el proceso se está actualizando de manera integral con los demás</t>
  </si>
  <si>
    <t>Se evidenció la concertación de objettivos con cada uno de los subgerentes  por parte del Gerente de la entidad y la definición de las evaluaciones de acuerdo al marco normativo</t>
  </si>
  <si>
    <t>La Alta Dirección  viene liderando el trabajo de  la actualización de la matriz de riesgos que permitan la identificación, valoración e  implementación de acciones efectivas  que permitan la mitigación de  la materialización de los mismos</t>
  </si>
  <si>
    <t>La Alta Dirección a  través del Comité de Coordinación de Control Interno viene implementado acciones  que permiten mejorar los puntos de control en la ejecución de procesos y procedimientos</t>
  </si>
  <si>
    <t xml:space="preserve">Se evidencia el compromiso de la Alta Dirección en  trabajar articuladamente en la actualización  de procesos y procedimientos que permiten implementar buenas prácticas de administración pública, disponiendo así un ambiente de control que permita generar empoderamiento entre sus funcionarios y contratistas </t>
  </si>
  <si>
    <t xml:space="preserve">Como oportunidad de mejora la Alta Dirección vienen coordinando acciones para  lograr la sistematización de la información que cosntantemente genera la entidad que permita el adecuado manejo y custodia  de la misma.
De igual manera la  Alta Dirección  viene trabajando en la implementación de mecanismos que permita la adecuada difusión de la información  y comunicación efectivaa para los grupos de interés
</t>
  </si>
  <si>
    <t>La Alta Dirección en el marco de la implementación del Comité de Coordianción de Contro Interno, ha venido implementando las actividades de monitoreo, seguimiento y autocontrol que permita consolidar el Sistema de Control Interno de la entidad</t>
  </si>
  <si>
    <t>1 DE ENERO A 30 DE JUNIO DE 2020</t>
  </si>
  <si>
    <t xml:space="preserve">En el marco de la implementación de la cultura de autocontrol y la actualización  de los proceso y procedimeintos , se evidencia el compromiso que existe  por la alta dirección para lograr la  mejora continua  en la articulación y operación de cada uno de los componentes  del Sistema de Control Interno de manera integrada.
Por lo anterior se hace necesario el segui miento permanente a los cronogramas de trabajo  que  la Alta Dirección a implementado para el cumplimiento de las acciones que premita a corto plazo implementar y fortalecer el  Sistema de Control Interno 
</t>
  </si>
  <si>
    <t xml:space="preserve">Si, pero es importante establecer que en el marco de la implementación de las cultura de autocontrol, la administración ha venido trabajando  en la actualización pemanente con el propósito de pemitir procesos de mejora continua que conlleve a la constante apropiación por parte de cada uno de los funcionarios y contratistas de la entidad  y el empoderameinto efectivo del Sistema de Control Interno.
Por lo anterior se hace necesario el segui miento permanente a los cronogramas de trabajo  que  la Alta Dirección a implementado para el cumplimiento de las acciones que premita a corto plazo implementar y fortalecer el  Sistema de Control Interno </t>
  </si>
  <si>
    <t xml:space="preserve">La entidad   cuenta con el  comité coordinador de control interno y  se evidencia el trabajo que la adminsitración actual esta realizando en su implmentación, con el propósito de fortalecer funcional y operativamente la entidad  en pro del cumplimiento de sus objetivos y en la mitigación de los riesgos como  buena práctica de administración,
Buscando así fortalecer el Sistema de Control Interno de la entidad.
Por lo anterior se hace necesario el segui miento permanente a los cronogramas de trabajo  que  la Alta Dirección a implementado para el cumplimiento de las acciones que premita a corto plazo implementar y fortalecer el  Sistema de Control Interno </t>
  </si>
  <si>
    <t>FONDO DE DESARROLLO DE PROYECTOS DE CUNDINAMARCA- FONDECUN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</si>
</sst>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0" x14ac:knownFonts="1">
    <font>
      <sz val="11"/>
      <color theme="1"/>
      <name val="Calibri"/>
      <family val="2"/>
      <scheme val="minor"/>
    </font>
    <font>
      <sz val="11"/>
      <name val="Arial"/>
      <family val="2"/>
    </font>
    <font>
      <sz val="11"/>
      <color theme="1"/>
      <name val="Calibri"/>
      <family val="2"/>
      <scheme val="minor"/>
    </font>
    <font>
      <b/>
      <sz val="20"/>
      <color theme="0"/>
      <name val="Arial Narrow"/>
      <family val="2"/>
    </font>
    <font>
      <sz val="11"/>
      <color theme="1"/>
      <name val="Arial Narrow"/>
      <family val="2"/>
    </font>
    <font>
      <sz val="11"/>
      <color theme="0"/>
      <name val="Arial Narrow"/>
      <family val="2"/>
    </font>
    <font>
      <b/>
      <sz val="16"/>
      <color theme="0"/>
      <name val="Arial Narrow"/>
      <family val="2"/>
    </font>
    <font>
      <b/>
      <sz val="12"/>
      <color theme="0"/>
      <name val="Arial Narrow"/>
      <family val="2"/>
    </font>
    <font>
      <b/>
      <sz val="10"/>
      <color theme="0"/>
      <name val="Arial Narrow"/>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8"/>
      <name val="Calibri"/>
      <family val="2"/>
      <scheme val="minor"/>
    </font>
    <font>
      <b/>
      <sz val="18"/>
      <color theme="1"/>
      <name val="Calibri"/>
      <family val="2"/>
      <scheme val="minor"/>
    </font>
    <font>
      <sz val="12"/>
      <color theme="0"/>
      <name val="Arial Narrow"/>
      <family val="2"/>
    </font>
    <font>
      <sz val="12"/>
      <name val="Arial Narrow"/>
      <family val="2"/>
    </font>
    <font>
      <sz val="12"/>
      <color theme="1"/>
      <name val="Arial Narrow"/>
      <family val="2"/>
    </font>
    <font>
      <sz val="14"/>
      <color theme="1"/>
      <name val="Calibri"/>
      <family val="2"/>
      <scheme val="minor"/>
    </font>
    <font>
      <b/>
      <sz val="11"/>
      <color theme="0"/>
      <name val="Arial Narrow"/>
      <family val="2"/>
    </font>
    <font>
      <b/>
      <sz val="12"/>
      <color rgb="FFFF0000"/>
      <name val="Arial Narrow"/>
      <family val="2"/>
    </font>
    <font>
      <b/>
      <sz val="12"/>
      <name val="Arial Narrow"/>
      <family val="2"/>
    </font>
    <font>
      <sz val="12"/>
      <color rgb="FFFF0000"/>
      <name val="Arial Narrow"/>
      <family val="2"/>
    </font>
    <font>
      <b/>
      <u/>
      <sz val="12"/>
      <color theme="0"/>
      <name val="Arial Narrow"/>
      <family val="2"/>
    </font>
    <font>
      <b/>
      <sz val="12"/>
      <color theme="1"/>
      <name val="Arial Narrow"/>
      <family val="2"/>
    </font>
    <font>
      <b/>
      <i/>
      <sz val="12"/>
      <name val="Arial Narrow"/>
      <family val="2"/>
    </font>
    <font>
      <b/>
      <i/>
      <sz val="12"/>
      <color theme="1"/>
      <name val="Arial Narrow"/>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2" fillId="0" borderId="0" applyFont="0" applyFill="0" applyBorder="0" applyAlignment="0" applyProtection="0"/>
    <xf numFmtId="0" fontId="9" fillId="0" borderId="0"/>
    <xf numFmtId="0" fontId="17" fillId="0" borderId="0"/>
    <xf numFmtId="0" fontId="21" fillId="0" borderId="0"/>
  </cellStyleXfs>
  <cellXfs count="332">
    <xf numFmtId="0" fontId="0" fillId="0" borderId="0" xfId="0"/>
    <xf numFmtId="0" fontId="0" fillId="4" borderId="0" xfId="0" applyFill="1"/>
    <xf numFmtId="0" fontId="0" fillId="4" borderId="0" xfId="0" applyFill="1" applyBorder="1"/>
    <xf numFmtId="0" fontId="0" fillId="0" borderId="0" xfId="0" applyBorder="1"/>
    <xf numFmtId="0" fontId="10" fillId="0" borderId="0" xfId="2" applyFont="1" applyFill="1" applyAlignment="1" applyProtection="1">
      <alignment vertical="center"/>
      <protection locked="0"/>
    </xf>
    <xf numFmtId="49" fontId="12" fillId="4" borderId="0" xfId="2" applyNumberFormat="1" applyFont="1" applyFill="1" applyAlignment="1" applyProtection="1">
      <alignment vertical="center"/>
      <protection locked="0"/>
    </xf>
    <xf numFmtId="0" fontId="12" fillId="4" borderId="0" xfId="2" applyFont="1" applyFill="1" applyAlignment="1" applyProtection="1">
      <alignment vertical="center"/>
      <protection locked="0"/>
    </xf>
    <xf numFmtId="9" fontId="14" fillId="4" borderId="0" xfId="2" applyNumberFormat="1" applyFont="1" applyFill="1" applyAlignment="1" applyProtection="1">
      <alignment vertical="center"/>
      <protection locked="0"/>
    </xf>
    <xf numFmtId="9" fontId="10" fillId="4" borderId="0" xfId="1" applyFont="1" applyFill="1" applyAlignment="1" applyProtection="1">
      <alignment vertical="center"/>
      <protection locked="0"/>
    </xf>
    <xf numFmtId="9" fontId="10" fillId="4" borderId="0" xfId="2" applyNumberFormat="1" applyFont="1" applyFill="1" applyAlignment="1" applyProtection="1">
      <alignment vertical="center"/>
      <protection locked="0"/>
    </xf>
    <xf numFmtId="0" fontId="14" fillId="4" borderId="0" xfId="2" applyFont="1" applyFill="1" applyAlignment="1" applyProtection="1">
      <alignment vertical="center"/>
      <protection locked="0"/>
    </xf>
    <xf numFmtId="0" fontId="14" fillId="0" borderId="0" xfId="3" applyFont="1" applyProtection="1"/>
    <xf numFmtId="0" fontId="4" fillId="4" borderId="0" xfId="0" applyFont="1" applyFill="1"/>
    <xf numFmtId="0" fontId="4" fillId="0" borderId="0" xfId="0" applyFont="1"/>
    <xf numFmtId="0" fontId="24" fillId="0" borderId="0" xfId="0" applyFont="1" applyAlignment="1">
      <alignment vertical="top"/>
    </xf>
    <xf numFmtId="49" fontId="24" fillId="0" borderId="0" xfId="0" applyNumberFormat="1" applyFont="1" applyAlignment="1">
      <alignment horizontal="center" vertical="top"/>
    </xf>
    <xf numFmtId="0" fontId="10" fillId="4" borderId="0" xfId="2" applyFont="1" applyFill="1" applyAlignment="1" applyProtection="1">
      <alignment vertical="center"/>
      <protection locked="0"/>
    </xf>
    <xf numFmtId="0" fontId="14" fillId="4" borderId="0" xfId="3" applyFont="1" applyFill="1" applyBorder="1" applyProtection="1"/>
    <xf numFmtId="0" fontId="14" fillId="4" borderId="59" xfId="3" applyFont="1" applyFill="1" applyBorder="1" applyAlignment="1" applyProtection="1">
      <alignment vertical="top" wrapText="1"/>
    </xf>
    <xf numFmtId="0" fontId="14" fillId="4" borderId="0" xfId="3" applyFont="1" applyFill="1" applyBorder="1" applyAlignment="1" applyProtection="1">
      <alignment vertical="top" wrapText="1"/>
    </xf>
    <xf numFmtId="0" fontId="14" fillId="4" borderId="60" xfId="3" applyFont="1" applyFill="1" applyBorder="1" applyAlignment="1" applyProtection="1">
      <alignment vertical="top" wrapText="1"/>
    </xf>
    <xf numFmtId="0" fontId="14" fillId="4" borderId="59" xfId="3" applyFont="1" applyFill="1" applyBorder="1" applyAlignment="1" applyProtection="1">
      <alignment horizontal="left" vertical="top"/>
    </xf>
    <xf numFmtId="0" fontId="14" fillId="4" borderId="60" xfId="3" applyFont="1" applyFill="1" applyBorder="1" applyAlignment="1" applyProtection="1">
      <alignment horizontal="left" vertical="top"/>
    </xf>
    <xf numFmtId="0" fontId="14" fillId="4" borderId="59" xfId="3" applyFont="1" applyFill="1" applyBorder="1" applyProtection="1"/>
    <xf numFmtId="0" fontId="22" fillId="4" borderId="0" xfId="4" applyFont="1" applyFill="1" applyBorder="1" applyAlignment="1" applyProtection="1">
      <alignment horizontal="left" vertical="top" wrapText="1" readingOrder="1"/>
    </xf>
    <xf numFmtId="0" fontId="14" fillId="4" borderId="60" xfId="3" applyFont="1" applyFill="1" applyBorder="1" applyProtection="1"/>
    <xf numFmtId="0" fontId="14" fillId="4" borderId="72" xfId="3" applyFont="1" applyFill="1" applyBorder="1" applyProtection="1"/>
    <xf numFmtId="0" fontId="14" fillId="4" borderId="73" xfId="3" applyFont="1" applyFill="1" applyBorder="1" applyProtection="1"/>
    <xf numFmtId="0" fontId="14" fillId="4" borderId="74" xfId="3" applyFont="1" applyFill="1" applyBorder="1" applyProtection="1"/>
    <xf numFmtId="0" fontId="22" fillId="4" borderId="0" xfId="0" applyFont="1" applyFill="1" applyBorder="1" applyAlignment="1" applyProtection="1">
      <alignment horizontal="left" vertical="center" wrapText="1"/>
    </xf>
    <xf numFmtId="0" fontId="23" fillId="4" borderId="0" xfId="0" applyFont="1" applyFill="1" applyBorder="1" applyAlignment="1" applyProtection="1">
      <alignment horizontal="left" vertical="top" wrapText="1"/>
    </xf>
    <xf numFmtId="0" fontId="14" fillId="4" borderId="0" xfId="3" quotePrefix="1" applyFont="1" applyFill="1" applyBorder="1" applyAlignment="1" applyProtection="1">
      <alignment horizontal="left" vertical="center" wrapText="1"/>
    </xf>
    <xf numFmtId="0" fontId="14" fillId="4" borderId="60" xfId="3" applyFont="1" applyFill="1" applyBorder="1" applyAlignment="1" applyProtection="1"/>
    <xf numFmtId="0" fontId="20" fillId="4" borderId="0" xfId="3" applyFont="1" applyFill="1" applyBorder="1" applyAlignment="1" applyProtection="1">
      <alignment horizontal="left" vertical="center" wrapText="1"/>
    </xf>
    <xf numFmtId="0" fontId="14" fillId="4" borderId="0" xfId="3" applyFont="1" applyFill="1" applyBorder="1" applyAlignment="1" applyProtection="1">
      <alignment horizontal="left" vertical="center" wrapText="1"/>
    </xf>
    <xf numFmtId="0" fontId="4" fillId="4" borderId="0" xfId="0" applyFont="1" applyFill="1" applyAlignment="1">
      <alignment vertical="center"/>
    </xf>
    <xf numFmtId="0" fontId="4" fillId="0" borderId="0" xfId="0" applyFont="1" applyAlignment="1">
      <alignment vertical="center"/>
    </xf>
    <xf numFmtId="0" fontId="5" fillId="4" borderId="0" xfId="0" applyFont="1" applyFill="1"/>
    <xf numFmtId="0" fontId="5" fillId="4" borderId="0" xfId="0" applyNumberFormat="1" applyFont="1" applyFill="1"/>
    <xf numFmtId="0" fontId="5" fillId="0" borderId="0" xfId="0" applyFont="1" applyAlignment="1">
      <alignment vertical="top"/>
    </xf>
    <xf numFmtId="0" fontId="5" fillId="0" borderId="0" xfId="0" applyNumberFormat="1" applyFont="1" applyAlignment="1">
      <alignment vertical="top"/>
    </xf>
    <xf numFmtId="0" fontId="5" fillId="0" borderId="0" xfId="0" applyNumberFormat="1" applyFont="1"/>
    <xf numFmtId="0" fontId="13" fillId="4" borderId="0" xfId="2" applyNumberFormat="1" applyFont="1" applyFill="1" applyBorder="1" applyAlignment="1" applyProtection="1">
      <alignment vertical="center" wrapText="1"/>
    </xf>
    <xf numFmtId="0" fontId="23" fillId="4" borderId="0" xfId="2" applyFont="1" applyFill="1" applyBorder="1" applyAlignment="1" applyProtection="1">
      <alignment vertical="center" wrapText="1"/>
    </xf>
    <xf numFmtId="0" fontId="24" fillId="0" borderId="0" xfId="0" applyNumberFormat="1" applyFont="1" applyAlignment="1" applyProtection="1">
      <alignment horizontal="center" vertical="top"/>
      <protection hidden="1"/>
    </xf>
    <xf numFmtId="0" fontId="5" fillId="0" borderId="0" xfId="0" applyNumberFormat="1" applyFont="1" applyAlignment="1" applyProtection="1">
      <alignment horizontal="center" vertical="top"/>
      <protection hidden="1"/>
    </xf>
    <xf numFmtId="49" fontId="5" fillId="0" borderId="0" xfId="0" applyNumberFormat="1" applyFont="1" applyAlignment="1" applyProtection="1">
      <alignment horizontal="center" vertical="top"/>
      <protection hidden="1"/>
    </xf>
    <xf numFmtId="0" fontId="5" fillId="0" borderId="0" xfId="0" applyNumberFormat="1" applyFont="1" applyAlignment="1" applyProtection="1">
      <alignment vertical="top"/>
      <protection hidden="1"/>
    </xf>
    <xf numFmtId="0" fontId="24" fillId="0" borderId="79" xfId="0" applyFont="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80" xfId="0" applyFont="1" applyBorder="1" applyAlignment="1" applyProtection="1">
      <alignment horizontal="left" vertical="center" wrapText="1"/>
      <protection locked="0"/>
    </xf>
    <xf numFmtId="0" fontId="24" fillId="0" borderId="79" xfId="0" applyFont="1" applyFill="1" applyBorder="1" applyAlignment="1" applyProtection="1">
      <alignment horizontal="left" vertical="center" wrapText="1"/>
      <protection locked="0"/>
    </xf>
    <xf numFmtId="0" fontId="8" fillId="2" borderId="82" xfId="2" applyFont="1" applyFill="1" applyBorder="1" applyAlignment="1" applyProtection="1">
      <alignment horizontal="center" vertical="center"/>
    </xf>
    <xf numFmtId="0" fontId="8"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26"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26"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26"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26"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26" fillId="0" borderId="6" xfId="0" applyFont="1" applyFill="1" applyBorder="1" applyAlignment="1" applyProtection="1">
      <alignment vertical="center" wrapText="1"/>
      <protection hidden="1"/>
    </xf>
    <xf numFmtId="0" fontId="26" fillId="0" borderId="3" xfId="0" applyFont="1" applyFill="1" applyBorder="1" applyAlignment="1" applyProtection="1">
      <alignment vertical="center" wrapText="1"/>
      <protection hidden="1"/>
    </xf>
    <xf numFmtId="0" fontId="26" fillId="0" borderId="7" xfId="0" applyFont="1" applyFill="1" applyBorder="1" applyAlignment="1" applyProtection="1">
      <alignment vertical="center" wrapText="1"/>
      <protection hidden="1"/>
    </xf>
    <xf numFmtId="0" fontId="31"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49" fontId="7" fillId="5" borderId="7" xfId="0" applyNumberFormat="1" applyFont="1" applyFill="1" applyBorder="1" applyAlignment="1" applyProtection="1">
      <alignment horizontal="center" vertical="center" wrapText="1"/>
      <protection hidden="1"/>
    </xf>
    <xf numFmtId="0" fontId="7" fillId="5" borderId="7" xfId="0" applyFont="1" applyFill="1" applyBorder="1" applyAlignment="1" applyProtection="1">
      <alignment horizontal="center" vertical="center" wrapText="1"/>
      <protection hidden="1"/>
    </xf>
    <xf numFmtId="0" fontId="7" fillId="5" borderId="10" xfId="0" applyFont="1" applyFill="1" applyBorder="1" applyAlignment="1" applyProtection="1">
      <alignment horizontal="center" vertical="center" wrapText="1"/>
      <protection hidden="1"/>
    </xf>
    <xf numFmtId="0" fontId="7"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32" fillId="5" borderId="7" xfId="0" applyNumberFormat="1"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2" xfId="0" applyFont="1" applyBorder="1" applyAlignment="1" applyProtection="1">
      <alignment horizontal="center" vertical="center" wrapText="1"/>
      <protection locked="0"/>
    </xf>
    <xf numFmtId="0" fontId="24" fillId="0" borderId="79" xfId="0" applyFont="1" applyBorder="1" applyAlignment="1" applyProtection="1">
      <alignment horizontal="center" vertical="center" wrapText="1"/>
      <protection hidden="1"/>
    </xf>
    <xf numFmtId="0" fontId="24" fillId="0" borderId="3" xfId="0" applyFont="1" applyBorder="1" applyAlignment="1">
      <alignment horizontal="center" vertical="center" wrapText="1"/>
    </xf>
    <xf numFmtId="0" fontId="4" fillId="0" borderId="3" xfId="0" applyFont="1" applyFill="1" applyBorder="1" applyAlignment="1">
      <alignment horizontal="left" vertical="center" wrapText="1"/>
    </xf>
    <xf numFmtId="0" fontId="24" fillId="0" borderId="3"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hidden="1"/>
    </xf>
    <xf numFmtId="0" fontId="24" fillId="0" borderId="3" xfId="0" applyFont="1" applyBorder="1" applyAlignment="1">
      <alignment horizontal="left" vertical="center" wrapText="1"/>
    </xf>
    <xf numFmtId="0" fontId="24" fillId="0" borderId="3"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hidden="1"/>
    </xf>
    <xf numFmtId="0" fontId="24" fillId="0" borderId="4" xfId="0" applyFont="1" applyBorder="1" applyAlignment="1">
      <alignment horizontal="center" vertical="center" wrapText="1"/>
    </xf>
    <xf numFmtId="0" fontId="24" fillId="0" borderId="4" xfId="0" applyFont="1" applyBorder="1" applyAlignment="1">
      <alignment horizontal="left" vertical="center" wrapText="1"/>
    </xf>
    <xf numFmtId="0" fontId="24" fillId="0" borderId="4" xfId="0" applyFont="1" applyBorder="1" applyAlignment="1" applyProtection="1">
      <alignment horizontal="center" vertical="center" wrapText="1"/>
      <protection locked="0"/>
    </xf>
    <xf numFmtId="0" fontId="24" fillId="0" borderId="80" xfId="0" applyFont="1" applyBorder="1" applyAlignment="1" applyProtection="1">
      <alignment horizontal="center" vertical="center" wrapText="1"/>
      <protection hidden="1"/>
    </xf>
    <xf numFmtId="0" fontId="24" fillId="0" borderId="3"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2" xfId="0" applyFont="1" applyFill="1" applyBorder="1" applyAlignment="1" applyProtection="1">
      <alignment horizontal="center" vertical="center" wrapText="1"/>
      <protection locked="0"/>
    </xf>
    <xf numFmtId="0" fontId="24" fillId="0" borderId="79" xfId="0" applyFont="1" applyFill="1" applyBorder="1" applyAlignment="1" applyProtection="1">
      <alignment horizontal="center" vertical="center" wrapText="1"/>
      <protection hidden="1"/>
    </xf>
    <xf numFmtId="49" fontId="5" fillId="9" borderId="14" xfId="0" applyNumberFormat="1" applyFont="1" applyFill="1" applyBorder="1" applyAlignment="1">
      <alignment horizontal="center" vertical="center" wrapText="1"/>
    </xf>
    <xf numFmtId="49" fontId="5" fillId="9" borderId="11" xfId="0" applyNumberFormat="1" applyFont="1" applyFill="1" applyBorder="1" applyAlignment="1">
      <alignment horizontal="center" vertical="center" wrapText="1"/>
    </xf>
    <xf numFmtId="0" fontId="5" fillId="9" borderId="11" xfId="0" applyFont="1" applyFill="1" applyBorder="1" applyAlignment="1">
      <alignment horizontal="center" vertical="top" wrapText="1"/>
    </xf>
    <xf numFmtId="0" fontId="33" fillId="4" borderId="0" xfId="0" applyFont="1" applyFill="1" applyBorder="1"/>
    <xf numFmtId="0" fontId="34" fillId="4" borderId="30" xfId="0" applyFont="1" applyFill="1" applyBorder="1" applyAlignment="1">
      <alignment horizontal="center" vertical="center"/>
    </xf>
    <xf numFmtId="0" fontId="34" fillId="4" borderId="0" xfId="0" applyFont="1" applyFill="1" applyBorder="1" applyAlignment="1">
      <alignment horizontal="center" vertical="center"/>
    </xf>
    <xf numFmtId="0" fontId="7" fillId="4" borderId="0" xfId="0" applyFont="1" applyFill="1" applyBorder="1" applyAlignment="1">
      <alignment horizontal="center" vertical="center" wrapText="1"/>
    </xf>
    <xf numFmtId="0" fontId="30" fillId="0" borderId="0" xfId="0" applyFont="1" applyBorder="1" applyAlignment="1">
      <alignment horizontal="center" wrapText="1"/>
    </xf>
    <xf numFmtId="0" fontId="7" fillId="0" borderId="0" xfId="0" applyFont="1" applyFill="1" applyBorder="1" applyAlignment="1">
      <alignment vertical="center"/>
    </xf>
    <xf numFmtId="9" fontId="34" fillId="0" borderId="0" xfId="0" applyNumberFormat="1" applyFont="1" applyFill="1" applyBorder="1" applyAlignment="1">
      <alignment vertical="center"/>
    </xf>
    <xf numFmtId="0" fontId="7" fillId="4" borderId="0" xfId="0" applyFont="1" applyFill="1" applyBorder="1" applyAlignment="1">
      <alignment horizontal="left" vertical="center"/>
    </xf>
    <xf numFmtId="9" fontId="7" fillId="4" borderId="0" xfId="0" applyNumberFormat="1" applyFont="1" applyFill="1" applyBorder="1" applyAlignment="1">
      <alignment horizontal="center" vertical="center"/>
    </xf>
    <xf numFmtId="0" fontId="34" fillId="4" borderId="21" xfId="0" applyFont="1" applyFill="1" applyBorder="1" applyAlignment="1">
      <alignment vertical="center"/>
    </xf>
    <xf numFmtId="0" fontId="34" fillId="4" borderId="0" xfId="0" applyFont="1" applyFill="1" applyBorder="1" applyAlignment="1">
      <alignment vertical="center"/>
    </xf>
    <xf numFmtId="0" fontId="7" fillId="4" borderId="0" xfId="0" applyFont="1" applyFill="1" applyBorder="1" applyAlignment="1">
      <alignment vertical="center"/>
    </xf>
    <xf numFmtId="0" fontId="34" fillId="4" borderId="0" xfId="0" applyFont="1" applyFill="1" applyBorder="1" applyAlignment="1">
      <alignment horizontal="left" vertical="center"/>
    </xf>
    <xf numFmtId="0" fontId="30" fillId="4" borderId="0" xfId="0" applyFont="1" applyFill="1"/>
    <xf numFmtId="0" fontId="30" fillId="0" borderId="0" xfId="0" applyFont="1"/>
    <xf numFmtId="0" fontId="30" fillId="4" borderId="17" xfId="0" applyFont="1" applyFill="1" applyBorder="1"/>
    <xf numFmtId="0" fontId="30" fillId="4" borderId="18" xfId="0" applyFont="1" applyFill="1" applyBorder="1"/>
    <xf numFmtId="0" fontId="30" fillId="4" borderId="19" xfId="0" applyFont="1" applyFill="1" applyBorder="1"/>
    <xf numFmtId="0" fontId="30" fillId="4" borderId="20" xfId="0" applyFont="1" applyFill="1" applyBorder="1"/>
    <xf numFmtId="0" fontId="30" fillId="4" borderId="0" xfId="0" applyFont="1" applyFill="1" applyBorder="1"/>
    <xf numFmtId="0" fontId="30" fillId="4" borderId="0" xfId="0" applyFont="1" applyFill="1" applyBorder="1" applyAlignment="1">
      <alignment horizontal="center"/>
    </xf>
    <xf numFmtId="0" fontId="30" fillId="4" borderId="21" xfId="0" applyFont="1" applyFill="1" applyBorder="1"/>
    <xf numFmtId="0" fontId="7" fillId="2" borderId="3" xfId="0" applyFont="1" applyFill="1" applyBorder="1" applyAlignment="1">
      <alignment horizontal="center" vertical="center"/>
    </xf>
    <xf numFmtId="164" fontId="30" fillId="4" borderId="0" xfId="0" applyNumberFormat="1" applyFont="1" applyFill="1" applyBorder="1" applyAlignment="1">
      <alignment horizontal="center"/>
    </xf>
    <xf numFmtId="0" fontId="28" fillId="4" borderId="0" xfId="0" applyFont="1" applyFill="1" applyBorder="1" applyAlignment="1">
      <alignment vertical="center"/>
    </xf>
    <xf numFmtId="9" fontId="34" fillId="2" borderId="26" xfId="0" applyNumberFormat="1" applyFont="1" applyFill="1" applyBorder="1" applyAlignment="1" applyProtection="1">
      <alignment horizontal="center" vertical="center"/>
      <protection hidden="1"/>
    </xf>
    <xf numFmtId="0" fontId="35" fillId="4" borderId="0" xfId="0" applyFont="1" applyFill="1" applyBorder="1" applyAlignment="1">
      <alignment horizontal="center" vertical="center"/>
    </xf>
    <xf numFmtId="0" fontId="7" fillId="4" borderId="0" xfId="0" applyFont="1" applyFill="1" applyBorder="1" applyAlignment="1">
      <alignment horizontal="center" vertical="center"/>
    </xf>
    <xf numFmtId="49" fontId="30" fillId="4" borderId="2" xfId="0" applyNumberFormat="1" applyFont="1" applyFill="1" applyBorder="1" applyAlignment="1" applyProtection="1">
      <alignment horizontal="center" vertical="center" wrapText="1"/>
      <protection locked="0"/>
    </xf>
    <xf numFmtId="49" fontId="30" fillId="4" borderId="3" xfId="0" applyNumberFormat="1" applyFont="1" applyFill="1" applyBorder="1" applyAlignment="1" applyProtection="1">
      <alignment horizontal="center" vertical="center" wrapText="1"/>
      <protection locked="0"/>
    </xf>
    <xf numFmtId="49" fontId="30" fillId="4" borderId="4" xfId="0" applyNumberFormat="1" applyFont="1" applyFill="1" applyBorder="1" applyAlignment="1" applyProtection="1">
      <alignment horizontal="center" vertical="center" wrapText="1"/>
      <protection locked="0"/>
    </xf>
    <xf numFmtId="0" fontId="33" fillId="4" borderId="0" xfId="0" applyFont="1" applyFill="1" applyBorder="1" applyAlignment="1">
      <alignment wrapText="1"/>
    </xf>
    <xf numFmtId="0" fontId="7" fillId="12" borderId="3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7" fillId="4" borderId="0" xfId="0" applyFont="1" applyFill="1" applyAlignment="1">
      <alignment wrapText="1"/>
    </xf>
    <xf numFmtId="0" fontId="30" fillId="0" borderId="0" xfId="0" applyFont="1" applyBorder="1"/>
    <xf numFmtId="0" fontId="28" fillId="4" borderId="0" xfId="0" applyFont="1" applyFill="1" applyBorder="1"/>
    <xf numFmtId="0" fontId="7" fillId="13" borderId="3" xfId="0" applyFont="1" applyFill="1" applyBorder="1" applyAlignment="1">
      <alignment horizontal="center" vertical="center" wrapText="1"/>
    </xf>
    <xf numFmtId="0" fontId="34" fillId="0" borderId="3" xfId="0" applyFont="1" applyFill="1" applyBorder="1" applyAlignment="1" applyProtection="1">
      <alignment horizontal="center" vertical="center"/>
      <protection hidden="1"/>
    </xf>
    <xf numFmtId="9" fontId="37" fillId="14" borderId="3" xfId="0" applyNumberFormat="1" applyFont="1" applyFill="1" applyBorder="1" applyAlignment="1" applyProtection="1">
      <alignment horizontal="center" vertical="center"/>
      <protection hidden="1"/>
    </xf>
    <xf numFmtId="0" fontId="30" fillId="0" borderId="0" xfId="0" applyFont="1" applyFill="1" applyBorder="1"/>
    <xf numFmtId="0" fontId="30" fillId="0" borderId="0" xfId="0" applyFont="1" applyBorder="1" applyAlignment="1">
      <alignment horizontal="center"/>
    </xf>
    <xf numFmtId="0" fontId="30" fillId="0" borderId="3" xfId="0" applyFont="1" applyBorder="1"/>
    <xf numFmtId="0" fontId="28" fillId="4" borderId="0" xfId="0" applyFont="1" applyFill="1" applyBorder="1" applyAlignment="1">
      <alignment horizontal="left"/>
    </xf>
    <xf numFmtId="0" fontId="7" fillId="15"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4" fillId="0" borderId="3" xfId="0" applyFont="1" applyFill="1" applyBorder="1" applyAlignment="1">
      <alignment horizontal="center" vertical="center"/>
    </xf>
    <xf numFmtId="0" fontId="38" fillId="4" borderId="0" xfId="0" applyFont="1" applyFill="1" applyBorder="1" applyAlignment="1">
      <alignment vertical="center"/>
    </xf>
    <xf numFmtId="0" fontId="39" fillId="4" borderId="0" xfId="0" applyFont="1" applyFill="1" applyBorder="1"/>
    <xf numFmtId="0" fontId="30" fillId="4" borderId="34" xfId="0" applyFont="1" applyFill="1" applyBorder="1"/>
    <xf numFmtId="0" fontId="30" fillId="4" borderId="35" xfId="0" applyFont="1" applyFill="1" applyBorder="1"/>
    <xf numFmtId="0" fontId="30" fillId="4" borderId="36" xfId="0" applyFont="1" applyFill="1" applyBorder="1"/>
    <xf numFmtId="0" fontId="18" fillId="0" borderId="58" xfId="3" applyFont="1" applyBorder="1" applyAlignment="1" applyProtection="1">
      <alignment horizontal="center" vertical="center" wrapText="1"/>
    </xf>
    <xf numFmtId="0" fontId="18" fillId="0" borderId="55" xfId="3" applyFont="1" applyBorder="1" applyAlignment="1" applyProtection="1">
      <alignment horizontal="center" vertical="center" wrapText="1"/>
    </xf>
    <xf numFmtId="0" fontId="18" fillId="0" borderId="8" xfId="3" applyFont="1" applyBorder="1" applyAlignment="1" applyProtection="1">
      <alignment horizontal="center" vertical="center" wrapText="1"/>
    </xf>
    <xf numFmtId="0" fontId="14" fillId="0" borderId="59" xfId="3" quotePrefix="1" applyFont="1" applyBorder="1" applyAlignment="1" applyProtection="1">
      <alignment horizontal="left" vertical="center" wrapText="1"/>
    </xf>
    <xf numFmtId="0" fontId="14" fillId="0" borderId="0" xfId="3" quotePrefix="1" applyFont="1" applyBorder="1" applyAlignment="1" applyProtection="1">
      <alignment horizontal="left" vertical="center" wrapText="1"/>
    </xf>
    <xf numFmtId="0" fontId="14" fillId="0" borderId="60" xfId="3" quotePrefix="1" applyFont="1" applyBorder="1" applyAlignment="1" applyProtection="1">
      <alignment horizontal="left" vertical="center" wrapText="1"/>
    </xf>
    <xf numFmtId="0" fontId="19" fillId="4" borderId="59" xfId="3" quotePrefix="1" applyFont="1" applyFill="1" applyBorder="1" applyAlignment="1" applyProtection="1">
      <alignment horizontal="left" vertical="top" wrapText="1"/>
    </xf>
    <xf numFmtId="0" fontId="13" fillId="4" borderId="0" xfId="3" quotePrefix="1" applyFont="1" applyFill="1" applyBorder="1" applyAlignment="1" applyProtection="1">
      <alignment horizontal="left" vertical="top" wrapText="1"/>
    </xf>
    <xf numFmtId="0" fontId="13" fillId="4" borderId="60" xfId="3" quotePrefix="1" applyFont="1" applyFill="1" applyBorder="1" applyAlignment="1" applyProtection="1">
      <alignment horizontal="left" vertical="top" wrapText="1"/>
    </xf>
    <xf numFmtId="0" fontId="14" fillId="4" borderId="59" xfId="3" quotePrefix="1" applyFont="1" applyFill="1" applyBorder="1" applyAlignment="1" applyProtection="1">
      <alignment horizontal="left" vertical="top" wrapText="1"/>
    </xf>
    <xf numFmtId="0" fontId="14" fillId="4" borderId="0" xfId="3" quotePrefix="1" applyFont="1" applyFill="1" applyBorder="1" applyAlignment="1" applyProtection="1">
      <alignment horizontal="left" vertical="top" wrapText="1"/>
    </xf>
    <xf numFmtId="0" fontId="14" fillId="4" borderId="60" xfId="3" quotePrefix="1" applyFont="1" applyFill="1" applyBorder="1" applyAlignment="1" applyProtection="1">
      <alignment horizontal="left" vertical="top" wrapText="1"/>
    </xf>
    <xf numFmtId="0" fontId="22" fillId="16" borderId="61" xfId="4" applyFont="1" applyFill="1" applyBorder="1" applyAlignment="1" applyProtection="1">
      <alignment horizontal="center" vertical="center" wrapText="1"/>
    </xf>
    <xf numFmtId="0" fontId="22" fillId="16" borderId="62" xfId="4" applyFont="1" applyFill="1" applyBorder="1" applyAlignment="1" applyProtection="1">
      <alignment horizontal="center" vertical="center" wrapText="1"/>
    </xf>
    <xf numFmtId="0" fontId="22" fillId="16" borderId="63" xfId="3" applyFont="1" applyFill="1" applyBorder="1" applyAlignment="1" applyProtection="1">
      <alignment horizontal="center" vertical="center"/>
    </xf>
    <xf numFmtId="0" fontId="22" fillId="16" borderId="64" xfId="3" applyFont="1" applyFill="1" applyBorder="1" applyAlignment="1" applyProtection="1">
      <alignment horizontal="center" vertical="center"/>
    </xf>
    <xf numFmtId="0" fontId="22" fillId="4" borderId="75" xfId="4" applyFont="1" applyFill="1" applyBorder="1" applyAlignment="1" applyProtection="1">
      <alignment horizontal="left" vertical="center" wrapText="1" readingOrder="1"/>
    </xf>
    <xf numFmtId="0" fontId="22" fillId="4" borderId="76" xfId="4" applyFont="1" applyFill="1" applyBorder="1" applyAlignment="1" applyProtection="1">
      <alignment horizontal="left" vertical="center" wrapText="1" readingOrder="1"/>
    </xf>
    <xf numFmtId="0" fontId="23" fillId="0" borderId="65" xfId="3" applyFont="1" applyFill="1" applyBorder="1" applyAlignment="1" applyProtection="1">
      <alignment horizontal="left" vertical="center" wrapText="1"/>
    </xf>
    <xf numFmtId="0" fontId="23" fillId="0" borderId="66" xfId="3" applyFont="1" applyFill="1" applyBorder="1" applyAlignment="1" applyProtection="1">
      <alignment horizontal="left" vertical="center" wrapText="1"/>
    </xf>
    <xf numFmtId="0" fontId="22" fillId="4" borderId="67" xfId="0" applyFont="1" applyFill="1" applyBorder="1" applyAlignment="1" applyProtection="1">
      <alignment horizontal="left" vertical="center" wrapText="1"/>
    </xf>
    <xf numFmtId="0" fontId="22" fillId="4" borderId="68" xfId="0" applyFont="1" applyFill="1" applyBorder="1" applyAlignment="1" applyProtection="1">
      <alignment horizontal="left" vertical="center" wrapText="1"/>
    </xf>
    <xf numFmtId="0" fontId="23" fillId="0" borderId="69" xfId="3" applyFont="1" applyFill="1" applyBorder="1" applyAlignment="1" applyProtection="1">
      <alignment horizontal="left" vertical="center" wrapText="1"/>
    </xf>
    <xf numFmtId="0" fontId="23" fillId="0" borderId="70" xfId="3" applyFont="1" applyFill="1" applyBorder="1" applyAlignment="1" applyProtection="1">
      <alignment horizontal="left" vertical="center" wrapText="1"/>
    </xf>
    <xf numFmtId="0" fontId="23" fillId="0" borderId="69" xfId="3" applyFont="1" applyFill="1" applyBorder="1" applyAlignment="1" applyProtection="1">
      <alignment horizontal="left" vertical="top" wrapText="1"/>
    </xf>
    <xf numFmtId="0" fontId="23" fillId="0" borderId="70" xfId="3" applyFont="1" applyFill="1" applyBorder="1" applyAlignment="1" applyProtection="1">
      <alignment horizontal="left" vertical="top" wrapText="1"/>
    </xf>
    <xf numFmtId="0" fontId="14" fillId="4" borderId="59" xfId="3" applyFont="1" applyFill="1" applyBorder="1" applyAlignment="1" applyProtection="1">
      <alignment horizontal="left" vertical="top" wrapText="1"/>
    </xf>
    <xf numFmtId="0" fontId="14" fillId="4" borderId="0" xfId="3" applyFont="1" applyFill="1" applyBorder="1" applyAlignment="1" applyProtection="1">
      <alignment horizontal="left" vertical="top" wrapText="1"/>
    </xf>
    <xf numFmtId="0" fontId="14" fillId="4" borderId="60" xfId="3" applyFont="1" applyFill="1" applyBorder="1" applyAlignment="1" applyProtection="1">
      <alignment horizontal="left" vertical="top" wrapText="1"/>
    </xf>
    <xf numFmtId="0" fontId="14" fillId="4" borderId="0" xfId="3" applyFont="1" applyFill="1" applyBorder="1" applyAlignment="1" applyProtection="1"/>
    <xf numFmtId="0" fontId="22" fillId="4" borderId="77" xfId="0" applyFont="1" applyFill="1" applyBorder="1" applyAlignment="1" applyProtection="1">
      <alignment horizontal="left" vertical="center" wrapText="1"/>
    </xf>
    <xf numFmtId="0" fontId="22" fillId="4" borderId="78" xfId="0" applyFont="1" applyFill="1" applyBorder="1" applyAlignment="1" applyProtection="1">
      <alignment horizontal="left" vertical="center" wrapText="1"/>
    </xf>
    <xf numFmtId="0" fontId="6" fillId="2" borderId="44" xfId="2" applyNumberFormat="1" applyFont="1" applyFill="1" applyBorder="1" applyAlignment="1" applyProtection="1">
      <alignment horizontal="center" vertical="center" wrapText="1"/>
    </xf>
    <xf numFmtId="0" fontId="6" fillId="2" borderId="45" xfId="2" applyNumberFormat="1" applyFont="1" applyFill="1" applyBorder="1" applyAlignment="1" applyProtection="1">
      <alignment horizontal="center" vertical="center" wrapText="1"/>
    </xf>
    <xf numFmtId="0" fontId="13" fillId="7" borderId="50" xfId="2" applyNumberFormat="1" applyFont="1" applyFill="1" applyBorder="1" applyAlignment="1" applyProtection="1">
      <alignment horizontal="center" vertical="center"/>
    </xf>
    <xf numFmtId="0" fontId="13" fillId="7" borderId="51" xfId="2" applyNumberFormat="1" applyFont="1" applyFill="1" applyBorder="1" applyAlignment="1" applyProtection="1">
      <alignment horizontal="center" vertical="center"/>
    </xf>
    <xf numFmtId="0" fontId="14" fillId="0" borderId="56" xfId="2" applyFont="1" applyFill="1" applyBorder="1" applyAlignment="1" applyProtection="1">
      <alignment horizontal="justify" vertical="center" wrapText="1"/>
    </xf>
    <xf numFmtId="0" fontId="14" fillId="0" borderId="57" xfId="2" applyFont="1" applyFill="1" applyBorder="1" applyAlignment="1" applyProtection="1">
      <alignment horizontal="justify" vertical="center" wrapText="1"/>
    </xf>
    <xf numFmtId="0" fontId="13" fillId="8" borderId="52" xfId="2" applyNumberFormat="1" applyFont="1" applyFill="1" applyBorder="1" applyAlignment="1" applyProtection="1">
      <alignment horizontal="center" vertical="center" wrapText="1"/>
    </xf>
    <xf numFmtId="0" fontId="13" fillId="8" borderId="53" xfId="2" applyNumberFormat="1" applyFont="1" applyFill="1" applyBorder="1" applyAlignment="1" applyProtection="1">
      <alignment horizontal="center" vertical="center"/>
    </xf>
    <xf numFmtId="0" fontId="14" fillId="0" borderId="53" xfId="2" applyFont="1" applyFill="1" applyBorder="1" applyAlignment="1" applyProtection="1">
      <alignment horizontal="justify" vertical="center" wrapText="1"/>
    </xf>
    <xf numFmtId="0" fontId="14" fillId="0" borderId="54" xfId="2" applyFont="1" applyFill="1" applyBorder="1" applyAlignment="1" applyProtection="1">
      <alignment horizontal="justify" vertical="center" wrapText="1"/>
    </xf>
    <xf numFmtId="0" fontId="25" fillId="4" borderId="71" xfId="2" applyNumberFormat="1" applyFont="1" applyFill="1" applyBorder="1" applyAlignment="1" applyProtection="1">
      <alignment horizontal="center" vertical="center" wrapText="1"/>
    </xf>
    <xf numFmtId="0" fontId="12" fillId="4" borderId="71" xfId="2"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13" fillId="14" borderId="47" xfId="2" applyNumberFormat="1" applyFont="1" applyFill="1" applyBorder="1" applyAlignment="1" applyProtection="1">
      <alignment horizontal="center" vertical="center"/>
    </xf>
    <xf numFmtId="0" fontId="13" fillId="14" borderId="48" xfId="2" applyNumberFormat="1" applyFont="1" applyFill="1" applyBorder="1" applyAlignment="1" applyProtection="1">
      <alignment horizontal="center" vertical="center"/>
    </xf>
    <xf numFmtId="0" fontId="14" fillId="0" borderId="48" xfId="2" applyFont="1" applyFill="1" applyBorder="1" applyAlignment="1" applyProtection="1">
      <alignment horizontal="justify" vertical="center" wrapText="1"/>
    </xf>
    <xf numFmtId="0" fontId="14" fillId="0" borderId="49" xfId="2" applyFont="1" applyFill="1" applyBorder="1" applyAlignment="1" applyProtection="1">
      <alignment horizontal="justify" vertical="center" wrapText="1"/>
    </xf>
    <xf numFmtId="0" fontId="5" fillId="9" borderId="1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6" xfId="0" applyFont="1" applyFill="1" applyBorder="1" applyAlignment="1">
      <alignment horizontal="center" vertical="center" wrapText="1"/>
    </xf>
    <xf numFmtId="49" fontId="5" fillId="9" borderId="14" xfId="0" applyNumberFormat="1" applyFont="1" applyFill="1" applyBorder="1" applyAlignment="1">
      <alignment horizontal="center" vertical="center" wrapText="1"/>
    </xf>
    <xf numFmtId="49" fontId="5" fillId="9" borderId="15" xfId="0" applyNumberFormat="1" applyFont="1" applyFill="1" applyBorder="1" applyAlignment="1">
      <alignment horizontal="center" vertical="center" wrapText="1"/>
    </xf>
    <xf numFmtId="49" fontId="5" fillId="9" borderId="16" xfId="0" applyNumberFormat="1" applyFont="1" applyFill="1" applyBorder="1" applyAlignment="1">
      <alignment horizontal="center" vertical="center" wrapText="1"/>
    </xf>
    <xf numFmtId="49" fontId="5" fillId="6" borderId="11" xfId="0" applyNumberFormat="1" applyFont="1" applyFill="1" applyBorder="1" applyAlignment="1">
      <alignment horizontal="center" vertical="center" wrapText="1"/>
    </xf>
    <xf numFmtId="49" fontId="5" fillId="6" borderId="12" xfId="0" applyNumberFormat="1" applyFont="1" applyFill="1" applyBorder="1" applyAlignment="1">
      <alignment horizontal="center" vertical="center" wrapText="1"/>
    </xf>
    <xf numFmtId="49" fontId="5" fillId="6" borderId="13" xfId="0" applyNumberFormat="1" applyFont="1" applyFill="1" applyBorder="1" applyAlignment="1">
      <alignment horizontal="center" vertical="center" wrapText="1"/>
    </xf>
    <xf numFmtId="49" fontId="5" fillId="10" borderId="11" xfId="0" applyNumberFormat="1" applyFont="1" applyFill="1" applyBorder="1" applyAlignment="1">
      <alignment horizontal="center" vertical="center" wrapText="1"/>
    </xf>
    <xf numFmtId="49" fontId="5" fillId="10" borderId="12" xfId="0" applyNumberFormat="1" applyFont="1" applyFill="1" applyBorder="1" applyAlignment="1">
      <alignment horizontal="center" vertical="center" wrapText="1"/>
    </xf>
    <xf numFmtId="49" fontId="5" fillId="10" borderId="13"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11" borderId="11" xfId="0" applyNumberFormat="1" applyFont="1" applyFill="1" applyBorder="1" applyAlignment="1">
      <alignment horizontal="center" vertical="center" wrapText="1"/>
    </xf>
    <xf numFmtId="49" fontId="5" fillId="11" borderId="12" xfId="0" applyNumberFormat="1" applyFont="1" applyFill="1" applyBorder="1" applyAlignment="1">
      <alignment horizontal="center" vertical="center" wrapText="1"/>
    </xf>
    <xf numFmtId="49" fontId="5" fillId="11" borderId="13" xfId="0" applyNumberFormat="1" applyFont="1" applyFill="1" applyBorder="1" applyAlignment="1">
      <alignment horizontal="center" vertical="center" wrapText="1"/>
    </xf>
    <xf numFmtId="49" fontId="5" fillId="9" borderId="11" xfId="0" applyNumberFormat="1" applyFont="1" applyFill="1" applyBorder="1" applyAlignment="1">
      <alignment horizontal="center" vertical="center" wrapText="1"/>
    </xf>
    <xf numFmtId="49" fontId="5" fillId="9" borderId="12" xfId="0" applyNumberFormat="1" applyFont="1" applyFill="1" applyBorder="1" applyAlignment="1">
      <alignment horizontal="center" vertical="center" wrapText="1"/>
    </xf>
    <xf numFmtId="49" fontId="5" fillId="9" borderId="13" xfId="0" applyNumberFormat="1" applyFont="1" applyFill="1" applyBorder="1" applyAlignment="1">
      <alignment horizontal="center" vertical="center" wrapText="1"/>
    </xf>
    <xf numFmtId="49" fontId="5" fillId="10" borderId="3"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49" fontId="5" fillId="10" borderId="15" xfId="0" applyNumberFormat="1" applyFont="1" applyFill="1" applyBorder="1" applyAlignment="1">
      <alignment horizontal="center" vertical="center" wrapText="1"/>
    </xf>
    <xf numFmtId="0" fontId="5" fillId="10" borderId="12" xfId="0"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49" fontId="32" fillId="5" borderId="0" xfId="0" applyNumberFormat="1" applyFont="1" applyFill="1" applyBorder="1" applyAlignment="1">
      <alignment horizontal="center" vertical="center"/>
    </xf>
    <xf numFmtId="0" fontId="5" fillId="11" borderId="11"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11" borderId="13" xfId="0" applyFont="1" applyFill="1" applyBorder="1" applyAlignment="1">
      <alignment horizontal="center" vertical="center" wrapText="1"/>
    </xf>
    <xf numFmtId="49" fontId="5" fillId="11" borderId="14" xfId="0" applyNumberFormat="1" applyFont="1" applyFill="1" applyBorder="1" applyAlignment="1">
      <alignment horizontal="center" vertical="center" wrapText="1"/>
    </xf>
    <xf numFmtId="49" fontId="5" fillId="11" borderId="15" xfId="0" applyNumberFormat="1" applyFont="1" applyFill="1" applyBorder="1" applyAlignment="1">
      <alignment horizontal="center" vertical="center" wrapText="1"/>
    </xf>
    <xf numFmtId="49" fontId="5" fillId="11" borderId="16" xfId="0" applyNumberFormat="1"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49" fontId="5" fillId="6" borderId="14"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wrapText="1"/>
    </xf>
    <xf numFmtId="49" fontId="5" fillId="6" borderId="16" xfId="0" applyNumberFormat="1" applyFont="1" applyFill="1" applyBorder="1" applyAlignment="1">
      <alignment horizontal="center" vertical="center" wrapText="1"/>
    </xf>
    <xf numFmtId="49" fontId="5" fillId="10" borderId="14" xfId="0" applyNumberFormat="1" applyFont="1" applyFill="1" applyBorder="1" applyAlignment="1">
      <alignment horizontal="center" vertical="center" wrapText="1"/>
    </xf>
    <xf numFmtId="49" fontId="5" fillId="10" borderId="16" xfId="0" applyNumberFormat="1"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13" xfId="0" applyFont="1" applyFill="1" applyBorder="1" applyAlignment="1">
      <alignment horizontal="center" vertical="center" wrapText="1"/>
    </xf>
    <xf numFmtId="9" fontId="27" fillId="0" borderId="87" xfId="0" applyNumberFormat="1" applyFont="1" applyBorder="1" applyAlignment="1" applyProtection="1">
      <alignment horizontal="center" vertical="center"/>
      <protection hidden="1"/>
    </xf>
    <xf numFmtId="9" fontId="27" fillId="0" borderId="88" xfId="0" applyNumberFormat="1" applyFont="1" applyBorder="1" applyAlignment="1" applyProtection="1">
      <alignment horizontal="center" vertical="center"/>
      <protection hidden="1"/>
    </xf>
    <xf numFmtId="9" fontId="16" fillId="7" borderId="84" xfId="1" applyFont="1" applyFill="1" applyBorder="1" applyAlignment="1" applyProtection="1">
      <alignment horizontal="center" vertical="center"/>
      <protection hidden="1"/>
    </xf>
    <xf numFmtId="9" fontId="16" fillId="7" borderId="85" xfId="1" applyFont="1" applyFill="1" applyBorder="1" applyAlignment="1" applyProtection="1">
      <alignment horizontal="center" vertical="center"/>
      <protection hidden="1"/>
    </xf>
    <xf numFmtId="9" fontId="16" fillId="7" borderId="86" xfId="1" applyFont="1" applyFill="1" applyBorder="1" applyAlignment="1" applyProtection="1">
      <alignment horizontal="center" vertical="center"/>
      <protection hidden="1"/>
    </xf>
    <xf numFmtId="0" fontId="15" fillId="9" borderId="14" xfId="0" applyFont="1" applyFill="1" applyBorder="1" applyAlignment="1">
      <alignment horizontal="center" vertical="center" textRotation="90"/>
    </xf>
    <xf numFmtId="0" fontId="15" fillId="9" borderId="15" xfId="0" applyFont="1" applyFill="1" applyBorder="1" applyAlignment="1">
      <alignment horizontal="center" vertical="center" textRotation="90"/>
    </xf>
    <xf numFmtId="0" fontId="15" fillId="9" borderId="16" xfId="0" applyFont="1" applyFill="1" applyBorder="1" applyAlignment="1">
      <alignment horizontal="center" vertical="center" textRotation="90"/>
    </xf>
    <xf numFmtId="9" fontId="27" fillId="4" borderId="87" xfId="0" applyNumberFormat="1" applyFont="1" applyFill="1" applyBorder="1" applyAlignment="1" applyProtection="1">
      <alignment horizontal="center" vertical="center"/>
      <protection hidden="1"/>
    </xf>
    <xf numFmtId="9" fontId="27" fillId="4" borderId="88" xfId="0" applyNumberFormat="1" applyFont="1" applyFill="1" applyBorder="1" applyAlignment="1" applyProtection="1">
      <alignment horizontal="center" vertical="center"/>
      <protection hidden="1"/>
    </xf>
    <xf numFmtId="9" fontId="27" fillId="4" borderId="89" xfId="0" applyNumberFormat="1" applyFont="1" applyFill="1" applyBorder="1" applyAlignment="1" applyProtection="1">
      <alignment horizontal="center" vertical="center"/>
      <protection hidden="1"/>
    </xf>
    <xf numFmtId="0" fontId="15" fillId="11" borderId="15" xfId="0" applyFont="1" applyFill="1" applyBorder="1" applyAlignment="1">
      <alignment horizontal="center" vertical="center" textRotation="90"/>
    </xf>
    <xf numFmtId="0" fontId="15" fillId="2" borderId="14" xfId="0" applyFont="1" applyFill="1" applyBorder="1" applyAlignment="1">
      <alignment horizontal="center" vertical="center" textRotation="90"/>
    </xf>
    <xf numFmtId="0" fontId="15" fillId="2" borderId="15" xfId="0" applyFont="1" applyFill="1" applyBorder="1" applyAlignment="1">
      <alignment horizontal="center" vertical="center" textRotation="90"/>
    </xf>
    <xf numFmtId="0" fontId="15" fillId="2" borderId="16" xfId="0" applyFont="1" applyFill="1" applyBorder="1" applyAlignment="1">
      <alignment horizontal="center" vertical="center" textRotation="90"/>
    </xf>
    <xf numFmtId="9" fontId="27" fillId="0" borderId="89" xfId="0" applyNumberFormat="1" applyFont="1" applyBorder="1" applyAlignment="1" applyProtection="1">
      <alignment horizontal="center" vertical="center"/>
      <protection hidden="1"/>
    </xf>
    <xf numFmtId="0" fontId="15" fillId="10" borderId="14" xfId="0" applyFont="1" applyFill="1" applyBorder="1" applyAlignment="1">
      <alignment horizontal="center" vertical="center" textRotation="90"/>
    </xf>
    <xf numFmtId="0" fontId="15" fillId="10" borderId="15" xfId="0" applyFont="1" applyFill="1" applyBorder="1" applyAlignment="1">
      <alignment horizontal="center" vertical="center" textRotation="90"/>
    </xf>
    <xf numFmtId="0" fontId="8" fillId="3" borderId="32"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1" fillId="6" borderId="14" xfId="0" applyFont="1" applyFill="1" applyBorder="1" applyAlignment="1">
      <alignment horizontal="center" vertical="center" textRotation="90" wrapText="1"/>
    </xf>
    <xf numFmtId="0" fontId="11" fillId="6" borderId="15" xfId="0" applyFont="1" applyFill="1" applyBorder="1" applyAlignment="1">
      <alignment horizontal="center" vertical="center" textRotation="90" wrapText="1"/>
    </xf>
    <xf numFmtId="0" fontId="11" fillId="6" borderId="16" xfId="0" applyFont="1" applyFill="1" applyBorder="1" applyAlignment="1">
      <alignment horizontal="center" vertical="center" textRotation="90" wrapText="1"/>
    </xf>
    <xf numFmtId="0" fontId="8" fillId="2" borderId="37" xfId="2" applyFont="1" applyFill="1" applyBorder="1" applyAlignment="1" applyProtection="1">
      <alignment horizontal="center" vertical="center" wrapText="1"/>
    </xf>
    <xf numFmtId="0" fontId="8" fillId="2" borderId="83" xfId="2" applyFont="1" applyFill="1" applyBorder="1" applyAlignment="1" applyProtection="1">
      <alignment horizontal="center" vertical="center" wrapText="1"/>
    </xf>
    <xf numFmtId="0" fontId="8" fillId="2" borderId="38" xfId="2" applyFont="1" applyFill="1" applyBorder="1" applyAlignment="1" applyProtection="1">
      <alignment horizontal="center" vertical="center" wrapText="1"/>
    </xf>
    <xf numFmtId="0" fontId="8" fillId="2" borderId="39" xfId="2" applyFont="1" applyFill="1" applyBorder="1" applyAlignment="1" applyProtection="1">
      <alignment horizontal="center" vertical="center" wrapText="1"/>
    </xf>
    <xf numFmtId="0" fontId="8" fillId="2" borderId="40" xfId="2" applyFont="1" applyFill="1" applyBorder="1" applyAlignment="1" applyProtection="1">
      <alignment horizontal="center" vertical="center" wrapText="1"/>
    </xf>
    <xf numFmtId="0" fontId="8" fillId="2" borderId="42" xfId="2" applyFont="1" applyFill="1" applyBorder="1" applyAlignment="1" applyProtection="1">
      <alignment horizontal="center" vertical="center" wrapText="1"/>
    </xf>
    <xf numFmtId="0" fontId="8" fillId="2" borderId="41" xfId="2" applyFont="1" applyFill="1" applyBorder="1" applyAlignment="1" applyProtection="1">
      <alignment horizontal="center" vertical="center" wrapText="1"/>
    </xf>
    <xf numFmtId="0" fontId="8" fillId="2" borderId="43" xfId="2" applyFont="1" applyFill="1" applyBorder="1" applyAlignment="1" applyProtection="1">
      <alignment horizontal="center" vertical="center" wrapText="1"/>
    </xf>
    <xf numFmtId="0" fontId="3" fillId="2" borderId="2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5" xfId="0" applyFont="1" applyFill="1" applyBorder="1" applyAlignment="1">
      <alignment horizontal="center" vertical="center"/>
    </xf>
    <xf numFmtId="49" fontId="34" fillId="4" borderId="91" xfId="0" applyNumberFormat="1" applyFont="1" applyFill="1" applyBorder="1" applyAlignment="1">
      <alignment horizontal="left" vertical="center" wrapText="1"/>
    </xf>
    <xf numFmtId="49" fontId="34" fillId="4" borderId="3" xfId="0" applyNumberFormat="1" applyFont="1" applyFill="1" applyBorder="1" applyAlignment="1">
      <alignment horizontal="left" vertical="center" wrapText="1"/>
    </xf>
    <xf numFmtId="49" fontId="34" fillId="4" borderId="92" xfId="0" applyNumberFormat="1" applyFont="1" applyFill="1" applyBorder="1" applyAlignment="1">
      <alignment horizontal="left" vertical="center" wrapText="1"/>
    </xf>
    <xf numFmtId="49" fontId="34" fillId="4" borderId="4" xfId="0" applyNumberFormat="1"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0" fillId="4" borderId="3" xfId="0" applyFont="1" applyFill="1" applyBorder="1" applyAlignment="1" applyProtection="1">
      <alignment horizontal="center" vertical="center"/>
      <protection locked="0"/>
    </xf>
    <xf numFmtId="164" fontId="30" fillId="4" borderId="22" xfId="0" applyNumberFormat="1" applyFont="1" applyFill="1" applyBorder="1" applyAlignment="1" applyProtection="1">
      <alignment horizontal="center" vertical="center"/>
      <protection locked="0"/>
    </xf>
    <xf numFmtId="164" fontId="30" fillId="4" borderId="23" xfId="0" applyNumberFormat="1" applyFont="1" applyFill="1" applyBorder="1" applyAlignment="1" applyProtection="1">
      <alignment horizontal="center" vertical="center"/>
      <protection locked="0"/>
    </xf>
    <xf numFmtId="164" fontId="30" fillId="4" borderId="9" xfId="0" applyNumberFormat="1" applyFont="1" applyFill="1" applyBorder="1" applyAlignment="1" applyProtection="1">
      <alignment horizontal="center" vertical="center"/>
      <protection locked="0"/>
    </xf>
    <xf numFmtId="0" fontId="7" fillId="2" borderId="2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49" fontId="34" fillId="4" borderId="90" xfId="0" applyNumberFormat="1" applyFont="1" applyFill="1" applyBorder="1" applyAlignment="1">
      <alignment horizontal="left" vertical="center" wrapText="1"/>
    </xf>
    <xf numFmtId="49" fontId="34" fillId="4" borderId="2" xfId="0" applyNumberFormat="1" applyFont="1" applyFill="1" applyBorder="1" applyAlignment="1">
      <alignment horizontal="left" vertical="center" wrapText="1"/>
    </xf>
    <xf numFmtId="49" fontId="30" fillId="4" borderId="2" xfId="0" applyNumberFormat="1" applyFont="1" applyFill="1" applyBorder="1" applyAlignment="1" applyProtection="1">
      <alignment horizontal="center" vertical="top" wrapText="1"/>
      <protection locked="0"/>
    </xf>
    <xf numFmtId="49" fontId="30" fillId="4" borderId="84" xfId="0" applyNumberFormat="1" applyFont="1" applyFill="1" applyBorder="1" applyAlignment="1" applyProtection="1">
      <alignment horizontal="center" vertical="top" wrapText="1"/>
      <protection locked="0"/>
    </xf>
    <xf numFmtId="49" fontId="30" fillId="4" borderId="3" xfId="0" applyNumberFormat="1" applyFont="1" applyFill="1" applyBorder="1" applyAlignment="1" applyProtection="1">
      <alignment horizontal="center" vertical="top" wrapText="1"/>
      <protection locked="0"/>
    </xf>
    <xf numFmtId="49" fontId="30" fillId="4" borderId="85" xfId="0" applyNumberFormat="1" applyFont="1" applyFill="1" applyBorder="1" applyAlignment="1" applyProtection="1">
      <alignment horizontal="center" vertical="top" wrapText="1"/>
      <protection locked="0"/>
    </xf>
    <xf numFmtId="49" fontId="30" fillId="4" borderId="4" xfId="0" applyNumberFormat="1" applyFont="1" applyFill="1" applyBorder="1" applyAlignment="1" applyProtection="1">
      <alignment horizontal="center" vertical="top" wrapText="1"/>
      <protection locked="0"/>
    </xf>
    <xf numFmtId="49" fontId="30" fillId="4" borderId="86" xfId="0" applyNumberFormat="1" applyFont="1" applyFill="1" applyBorder="1" applyAlignment="1" applyProtection="1">
      <alignment horizontal="center" vertical="top" wrapText="1"/>
      <protection locked="0"/>
    </xf>
    <xf numFmtId="0" fontId="30" fillId="0" borderId="24" xfId="0" applyFont="1" applyBorder="1" applyAlignment="1" applyProtection="1">
      <alignment horizontal="center" wrapText="1"/>
      <protection locked="0"/>
    </xf>
    <xf numFmtId="0" fontId="30" fillId="0" borderId="1" xfId="0" applyFont="1" applyBorder="1" applyAlignment="1" applyProtection="1">
      <alignment horizontal="center" wrapText="1"/>
      <protection locked="0"/>
    </xf>
    <xf numFmtId="0" fontId="30" fillId="0" borderId="25" xfId="0" applyFont="1" applyBorder="1" applyAlignment="1" applyProtection="1">
      <alignment horizontal="center" wrapText="1"/>
      <protection locked="0"/>
    </xf>
    <xf numFmtId="0" fontId="7" fillId="12" borderId="0" xfId="0" applyFont="1" applyFill="1" applyBorder="1" applyAlignment="1">
      <alignment horizontal="center" vertical="center" wrapText="1"/>
    </xf>
    <xf numFmtId="0" fontId="29" fillId="0" borderId="24"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9" fillId="0" borderId="25" xfId="0" applyFont="1" applyFill="1" applyBorder="1" applyAlignment="1" applyProtection="1">
      <alignment horizontal="center" vertical="center" wrapText="1"/>
      <protection locked="0"/>
    </xf>
    <xf numFmtId="0" fontId="30" fillId="0" borderId="73" xfId="0" applyFont="1" applyBorder="1" applyAlignment="1">
      <alignment horizontal="center"/>
    </xf>
    <xf numFmtId="0" fontId="30" fillId="0" borderId="1" xfId="0" applyFont="1" applyBorder="1" applyAlignment="1">
      <alignment horizontal="center"/>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6" zoomScale="115" zoomScaleNormal="115" workbookViewId="0">
      <selection activeCell="B3" sqref="B3:H4"/>
    </sheetView>
  </sheetViews>
  <sheetFormatPr baseColWidth="10" defaultColWidth="0" defaultRowHeight="12.75" zeroHeight="1" x14ac:dyDescent="0.2"/>
  <cols>
    <col min="1" max="1" width="3.85546875" style="11" customWidth="1"/>
    <col min="2" max="2" width="15.28515625" style="11" customWidth="1"/>
    <col min="3" max="3" width="17.28515625" style="11" customWidth="1"/>
    <col min="4" max="4" width="28.5703125" style="11" customWidth="1"/>
    <col min="5" max="5" width="12.85546875" style="11" customWidth="1"/>
    <col min="6" max="6" width="47.140625" style="11" customWidth="1"/>
    <col min="7" max="7" width="21.42578125" style="11" customWidth="1"/>
    <col min="8" max="8" width="6.5703125" style="11" customWidth="1"/>
    <col min="9" max="9" width="2.5703125" style="11" customWidth="1"/>
    <col min="10" max="16384" width="11.42578125" style="11" hidden="1"/>
  </cols>
  <sheetData>
    <row r="1" spans="2:8" ht="13.5" thickBot="1" x14ac:dyDescent="0.25"/>
    <row r="2" spans="2:8" ht="73.5" customHeight="1" x14ac:dyDescent="0.2">
      <c r="B2" s="167" t="s">
        <v>0</v>
      </c>
      <c r="C2" s="168"/>
      <c r="D2" s="168"/>
      <c r="E2" s="168"/>
      <c r="F2" s="168"/>
      <c r="G2" s="168"/>
      <c r="H2" s="169"/>
    </row>
    <row r="3" spans="2:8" ht="65.25" customHeight="1" x14ac:dyDescent="0.2">
      <c r="B3" s="170" t="s">
        <v>1</v>
      </c>
      <c r="C3" s="171"/>
      <c r="D3" s="171"/>
      <c r="E3" s="171"/>
      <c r="F3" s="171"/>
      <c r="G3" s="171"/>
      <c r="H3" s="172"/>
    </row>
    <row r="4" spans="2:8" ht="82.5" customHeight="1" x14ac:dyDescent="0.2">
      <c r="B4" s="170"/>
      <c r="C4" s="171"/>
      <c r="D4" s="171"/>
      <c r="E4" s="171"/>
      <c r="F4" s="171"/>
      <c r="G4" s="171"/>
      <c r="H4" s="172"/>
    </row>
    <row r="5" spans="2:8" ht="21.75" customHeight="1" x14ac:dyDescent="0.2">
      <c r="B5" s="173" t="s">
        <v>2</v>
      </c>
      <c r="C5" s="174"/>
      <c r="D5" s="174"/>
      <c r="E5" s="174"/>
      <c r="F5" s="174"/>
      <c r="G5" s="174"/>
      <c r="H5" s="175"/>
    </row>
    <row r="6" spans="2:8" ht="42" customHeight="1" x14ac:dyDescent="0.2">
      <c r="B6" s="176" t="s">
        <v>3</v>
      </c>
      <c r="C6" s="177"/>
      <c r="D6" s="177"/>
      <c r="E6" s="177"/>
      <c r="F6" s="177"/>
      <c r="G6" s="177"/>
      <c r="H6" s="178"/>
    </row>
    <row r="7" spans="2:8" ht="14.25" customHeight="1" x14ac:dyDescent="0.2">
      <c r="B7" s="176"/>
      <c r="C7" s="177"/>
      <c r="D7" s="177"/>
      <c r="E7" s="177"/>
      <c r="F7" s="177"/>
      <c r="G7" s="177"/>
      <c r="H7" s="178"/>
    </row>
    <row r="8" spans="2:8" ht="12.75" customHeight="1" thickBot="1" x14ac:dyDescent="0.25">
      <c r="B8" s="23"/>
      <c r="C8" s="17"/>
      <c r="D8" s="33"/>
      <c r="E8" s="34"/>
      <c r="F8" s="34"/>
      <c r="G8" s="31"/>
      <c r="H8" s="32"/>
    </row>
    <row r="9" spans="2:8" ht="21" customHeight="1" thickTop="1" x14ac:dyDescent="0.2">
      <c r="B9" s="23"/>
      <c r="C9" s="179" t="s">
        <v>4</v>
      </c>
      <c r="D9" s="180"/>
      <c r="E9" s="181" t="s">
        <v>5</v>
      </c>
      <c r="F9" s="182"/>
      <c r="G9" s="17"/>
      <c r="H9" s="25"/>
    </row>
    <row r="10" spans="2:8" ht="37.5" customHeight="1" x14ac:dyDescent="0.2">
      <c r="B10" s="23"/>
      <c r="C10" s="183" t="s">
        <v>6</v>
      </c>
      <c r="D10" s="184"/>
      <c r="E10" s="185" t="s">
        <v>7</v>
      </c>
      <c r="F10" s="186"/>
      <c r="G10" s="17"/>
      <c r="H10" s="25"/>
    </row>
    <row r="11" spans="2:8" ht="39.75" customHeight="1" x14ac:dyDescent="0.2">
      <c r="B11" s="23"/>
      <c r="C11" s="187" t="s">
        <v>8</v>
      </c>
      <c r="D11" s="188"/>
      <c r="E11" s="189" t="s">
        <v>9</v>
      </c>
      <c r="F11" s="190"/>
      <c r="G11" s="17"/>
      <c r="H11" s="25"/>
    </row>
    <row r="12" spans="2:8" ht="59.25" customHeight="1" x14ac:dyDescent="0.2">
      <c r="B12" s="23"/>
      <c r="C12" s="187" t="s">
        <v>10</v>
      </c>
      <c r="D12" s="188"/>
      <c r="E12" s="191" t="s">
        <v>11</v>
      </c>
      <c r="F12" s="192"/>
      <c r="G12" s="17"/>
      <c r="H12" s="25"/>
    </row>
    <row r="13" spans="2:8" ht="33.75" customHeight="1" x14ac:dyDescent="0.2">
      <c r="B13" s="23"/>
      <c r="C13" s="197" t="s">
        <v>12</v>
      </c>
      <c r="D13" s="198"/>
      <c r="E13" s="189" t="s">
        <v>13</v>
      </c>
      <c r="F13" s="190"/>
      <c r="G13" s="17"/>
      <c r="H13" s="25"/>
    </row>
    <row r="14" spans="2:8" ht="19.5" customHeight="1" x14ac:dyDescent="0.2">
      <c r="B14" s="23"/>
      <c r="C14" s="29"/>
      <c r="D14" s="29"/>
      <c r="E14" s="30"/>
      <c r="F14" s="30"/>
      <c r="G14" s="17"/>
      <c r="H14" s="25"/>
    </row>
    <row r="15" spans="2:8" ht="37.5" customHeight="1" thickBot="1" x14ac:dyDescent="0.25">
      <c r="B15" s="193" t="s">
        <v>14</v>
      </c>
      <c r="C15" s="194"/>
      <c r="D15" s="194"/>
      <c r="E15" s="194"/>
      <c r="F15" s="194"/>
      <c r="G15" s="194"/>
      <c r="H15" s="195"/>
    </row>
    <row r="16" spans="2:8" ht="27.75" customHeight="1" thickBot="1" x14ac:dyDescent="0.25">
      <c r="B16" s="23"/>
      <c r="C16" s="199" t="s">
        <v>15</v>
      </c>
      <c r="D16" s="200"/>
      <c r="E16" s="200" t="s">
        <v>16</v>
      </c>
      <c r="F16" s="211"/>
      <c r="G16" s="17"/>
      <c r="H16" s="25"/>
    </row>
    <row r="17" spans="2:8" ht="27.75" customHeight="1" x14ac:dyDescent="0.2">
      <c r="B17" s="23"/>
      <c r="C17" s="212" t="s">
        <v>17</v>
      </c>
      <c r="D17" s="213"/>
      <c r="E17" s="214" t="s">
        <v>18</v>
      </c>
      <c r="F17" s="215"/>
      <c r="G17" s="42"/>
      <c r="H17" s="25"/>
    </row>
    <row r="18" spans="2:8" ht="41.25" customHeight="1" x14ac:dyDescent="0.2">
      <c r="B18" s="23"/>
      <c r="C18" s="201" t="s">
        <v>19</v>
      </c>
      <c r="D18" s="202"/>
      <c r="E18" s="203" t="s">
        <v>20</v>
      </c>
      <c r="F18" s="204"/>
      <c r="G18" s="43"/>
      <c r="H18" s="25"/>
    </row>
    <row r="19" spans="2:8" ht="37.5" customHeight="1" thickBot="1" x14ac:dyDescent="0.25">
      <c r="B19" s="23"/>
      <c r="C19" s="205" t="s">
        <v>21</v>
      </c>
      <c r="D19" s="206"/>
      <c r="E19" s="207" t="s">
        <v>22</v>
      </c>
      <c r="F19" s="208"/>
      <c r="G19" s="43"/>
      <c r="H19" s="25"/>
    </row>
    <row r="20" spans="2:8" ht="11.25" customHeight="1" x14ac:dyDescent="0.2">
      <c r="B20" s="18"/>
      <c r="C20" s="19"/>
      <c r="D20" s="19"/>
      <c r="E20" s="19"/>
      <c r="F20" s="19"/>
      <c r="G20" s="19"/>
      <c r="H20" s="20"/>
    </row>
    <row r="21" spans="2:8" ht="14.25" customHeight="1" x14ac:dyDescent="0.2">
      <c r="B21" s="21"/>
      <c r="C21" s="209"/>
      <c r="D21" s="209"/>
      <c r="E21" s="210"/>
      <c r="F21" s="210"/>
      <c r="G21" s="210"/>
      <c r="H21" s="22"/>
    </row>
    <row r="22" spans="2:8" ht="36" customHeight="1" x14ac:dyDescent="0.2">
      <c r="B22" s="193" t="s">
        <v>23</v>
      </c>
      <c r="C22" s="194"/>
      <c r="D22" s="194"/>
      <c r="E22" s="194"/>
      <c r="F22" s="194"/>
      <c r="G22" s="194"/>
      <c r="H22" s="195"/>
    </row>
    <row r="23" spans="2:8" ht="13.5" x14ac:dyDescent="0.2">
      <c r="B23" s="23"/>
      <c r="C23" s="24"/>
      <c r="D23" s="24"/>
      <c r="E23" s="196"/>
      <c r="F23" s="196"/>
      <c r="G23" s="17"/>
      <c r="H23" s="25"/>
    </row>
    <row r="24" spans="2:8" ht="13.5" thickBot="1" x14ac:dyDescent="0.25">
      <c r="B24" s="26"/>
      <c r="C24" s="27"/>
      <c r="D24" s="27"/>
      <c r="E24" s="27"/>
      <c r="F24" s="27"/>
      <c r="G24" s="27"/>
      <c r="H24" s="28"/>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 ref="C10:D10"/>
    <mergeCell ref="E10:F10"/>
    <mergeCell ref="C11:D11"/>
    <mergeCell ref="E11:F11"/>
    <mergeCell ref="C12:D12"/>
    <mergeCell ref="E12:F12"/>
    <mergeCell ref="B2:H2"/>
    <mergeCell ref="B3:H4"/>
    <mergeCell ref="B5:H5"/>
    <mergeCell ref="B6:H7"/>
    <mergeCell ref="C9:D9"/>
    <mergeCell ref="E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opLeftCell="B1" zoomScale="80" zoomScaleNormal="80" workbookViewId="0">
      <selection activeCell="G17" sqref="G17"/>
    </sheetView>
  </sheetViews>
  <sheetFormatPr baseColWidth="10" defaultColWidth="11.42578125" defaultRowHeight="16.5" x14ac:dyDescent="0.3"/>
  <cols>
    <col min="1" max="1" width="3" style="13" hidden="1" customWidth="1"/>
    <col min="2" max="2" width="9.42578125" style="13" customWidth="1"/>
    <col min="3" max="3" width="25.5703125" style="13" customWidth="1"/>
    <col min="4" max="4" width="46.5703125" style="13" customWidth="1"/>
    <col min="5" max="5" width="10.140625" style="36" customWidth="1"/>
    <col min="6" max="6" width="44.5703125" style="36" customWidth="1"/>
    <col min="7" max="7" width="15.42578125" style="13" customWidth="1"/>
    <col min="8" max="9" width="43" style="13" customWidth="1"/>
    <col min="10" max="12" width="11.42578125" style="41" customWidth="1"/>
    <col min="13" max="24" width="11.42578125" style="13" customWidth="1"/>
    <col min="25" max="16384" width="11.42578125" style="13"/>
  </cols>
  <sheetData>
    <row r="1" spans="1:32" x14ac:dyDescent="0.3">
      <c r="B1" s="12"/>
      <c r="C1" s="12"/>
      <c r="D1" s="12"/>
      <c r="E1" s="35"/>
      <c r="F1" s="35"/>
      <c r="G1" s="12"/>
      <c r="H1" s="12"/>
      <c r="I1" s="12"/>
      <c r="J1" s="37"/>
      <c r="K1" s="37"/>
      <c r="L1" s="38"/>
      <c r="M1" s="12"/>
      <c r="N1" s="12"/>
      <c r="O1" s="12"/>
      <c r="P1" s="12"/>
      <c r="Q1" s="12"/>
      <c r="R1" s="12"/>
      <c r="S1" s="12"/>
      <c r="T1" s="12"/>
      <c r="U1" s="12"/>
      <c r="V1" s="12"/>
      <c r="W1" s="12"/>
      <c r="X1" s="12"/>
    </row>
    <row r="2" spans="1:32" x14ac:dyDescent="0.3">
      <c r="B2" s="12"/>
      <c r="C2" s="12"/>
      <c r="D2" s="12"/>
      <c r="E2" s="35"/>
      <c r="F2" s="35"/>
      <c r="G2" s="12"/>
      <c r="H2" s="12"/>
      <c r="I2" s="12"/>
      <c r="J2" s="37"/>
      <c r="K2" s="37"/>
      <c r="L2" s="38"/>
      <c r="M2" s="12"/>
      <c r="N2" s="12"/>
      <c r="O2" s="12"/>
      <c r="P2" s="12"/>
      <c r="Q2" s="12"/>
      <c r="R2" s="12"/>
      <c r="S2" s="12"/>
      <c r="T2" s="12"/>
      <c r="U2" s="12"/>
      <c r="V2" s="12"/>
      <c r="W2" s="12"/>
      <c r="X2" s="12"/>
    </row>
    <row r="3" spans="1:32" x14ac:dyDescent="0.3">
      <c r="B3" s="12"/>
      <c r="C3" s="12"/>
      <c r="D3" s="12"/>
      <c r="E3" s="35"/>
      <c r="F3" s="35"/>
      <c r="G3" s="12"/>
      <c r="H3" s="12"/>
      <c r="I3" s="12"/>
      <c r="J3" s="37"/>
      <c r="K3" s="37"/>
      <c r="L3" s="38"/>
      <c r="M3" s="12"/>
      <c r="N3" s="12"/>
      <c r="O3" s="12"/>
      <c r="P3" s="12"/>
      <c r="Q3" s="12"/>
      <c r="R3" s="12"/>
      <c r="S3" s="12"/>
      <c r="T3" s="12"/>
      <c r="U3" s="12"/>
      <c r="V3" s="12"/>
      <c r="W3" s="12"/>
      <c r="X3" s="12"/>
    </row>
    <row r="4" spans="1:32" x14ac:dyDescent="0.3">
      <c r="B4" s="12"/>
      <c r="C4" s="12"/>
      <c r="D4" s="12"/>
      <c r="E4" s="35"/>
      <c r="F4" s="35"/>
      <c r="G4" s="12"/>
      <c r="H4" s="12"/>
      <c r="I4" s="12"/>
      <c r="J4" s="37"/>
      <c r="K4" s="37"/>
      <c r="L4" s="38"/>
      <c r="M4" s="12"/>
      <c r="N4" s="12"/>
      <c r="O4" s="12"/>
      <c r="P4" s="12"/>
      <c r="Q4" s="12"/>
      <c r="R4" s="12"/>
      <c r="S4" s="12"/>
      <c r="T4" s="12"/>
      <c r="U4" s="12"/>
      <c r="V4" s="12"/>
      <c r="W4" s="12"/>
      <c r="X4" s="12"/>
    </row>
    <row r="5" spans="1:32" x14ac:dyDescent="0.3">
      <c r="B5" s="12"/>
      <c r="C5" s="12"/>
      <c r="D5" s="12"/>
      <c r="E5" s="35"/>
      <c r="F5" s="35"/>
      <c r="G5" s="12"/>
      <c r="H5" s="12"/>
      <c r="I5" s="12"/>
      <c r="J5" s="37"/>
      <c r="K5" s="37"/>
      <c r="L5" s="38"/>
      <c r="M5" s="12"/>
      <c r="N5" s="12"/>
      <c r="O5" s="12"/>
      <c r="P5" s="12"/>
      <c r="Q5" s="12"/>
      <c r="R5" s="12"/>
      <c r="S5" s="12"/>
      <c r="T5" s="12"/>
      <c r="U5" s="12"/>
      <c r="V5" s="12"/>
      <c r="W5" s="12"/>
      <c r="X5" s="12"/>
    </row>
    <row r="6" spans="1:32" x14ac:dyDescent="0.3">
      <c r="B6" s="12"/>
      <c r="C6" s="12"/>
      <c r="D6" s="12"/>
      <c r="E6" s="35"/>
      <c r="F6" s="35"/>
      <c r="G6" s="12"/>
      <c r="H6" s="12"/>
      <c r="I6" s="12"/>
      <c r="J6" s="37"/>
      <c r="K6" s="37"/>
      <c r="L6" s="38"/>
      <c r="M6" s="12"/>
      <c r="N6" s="12"/>
      <c r="O6" s="12"/>
      <c r="P6" s="12"/>
      <c r="Q6" s="12"/>
      <c r="R6" s="12"/>
      <c r="S6" s="12"/>
      <c r="T6" s="12"/>
      <c r="U6" s="12"/>
      <c r="V6" s="12"/>
      <c r="W6" s="12"/>
      <c r="X6" s="12"/>
    </row>
    <row r="7" spans="1:32" x14ac:dyDescent="0.3">
      <c r="B7" s="12"/>
      <c r="C7" s="12"/>
      <c r="D7" s="12"/>
      <c r="E7" s="35"/>
      <c r="F7" s="35"/>
      <c r="G7" s="12"/>
      <c r="H7" s="12"/>
      <c r="I7" s="12"/>
      <c r="J7" s="37"/>
      <c r="K7" s="37"/>
      <c r="L7" s="38"/>
      <c r="M7" s="12"/>
      <c r="N7" s="12"/>
      <c r="O7" s="12"/>
      <c r="P7" s="12"/>
      <c r="Q7" s="12"/>
      <c r="R7" s="12"/>
      <c r="S7" s="12"/>
      <c r="T7" s="12"/>
      <c r="U7" s="12"/>
      <c r="V7" s="12"/>
      <c r="W7" s="12"/>
      <c r="X7" s="12"/>
    </row>
    <row r="8" spans="1:32" x14ac:dyDescent="0.3">
      <c r="B8" s="12"/>
      <c r="C8" s="12"/>
      <c r="D8" s="12"/>
      <c r="E8" s="35"/>
      <c r="F8" s="35"/>
      <c r="G8" s="12"/>
      <c r="H8" s="12"/>
      <c r="I8" s="12"/>
      <c r="J8" s="37"/>
      <c r="K8" s="37"/>
      <c r="L8" s="38"/>
      <c r="M8" s="12"/>
      <c r="N8" s="12"/>
      <c r="O8" s="12"/>
      <c r="P8" s="12"/>
      <c r="Q8" s="12"/>
      <c r="R8" s="12"/>
      <c r="S8" s="12"/>
      <c r="T8" s="12"/>
      <c r="U8" s="12"/>
      <c r="V8" s="12"/>
      <c r="W8" s="12"/>
      <c r="X8" s="12"/>
    </row>
    <row r="9" spans="1:32" x14ac:dyDescent="0.3">
      <c r="B9" s="12"/>
      <c r="C9" s="12"/>
      <c r="D9" s="12"/>
      <c r="E9" s="35"/>
      <c r="F9" s="35"/>
      <c r="G9" s="12"/>
      <c r="H9" s="12"/>
      <c r="I9" s="12"/>
      <c r="J9" s="37"/>
      <c r="K9" s="37"/>
      <c r="L9" s="38"/>
      <c r="M9" s="12"/>
      <c r="N9" s="12"/>
      <c r="O9" s="12"/>
      <c r="P9" s="12"/>
      <c r="Q9" s="12"/>
      <c r="R9" s="12"/>
      <c r="S9" s="12"/>
      <c r="T9" s="12"/>
      <c r="U9" s="12"/>
      <c r="V9" s="12"/>
      <c r="W9" s="12"/>
      <c r="X9" s="12"/>
    </row>
    <row r="10" spans="1:32" x14ac:dyDescent="0.3">
      <c r="B10" s="12"/>
      <c r="C10" s="12"/>
      <c r="D10" s="12"/>
      <c r="E10" s="35"/>
      <c r="F10" s="35"/>
      <c r="G10" s="12"/>
      <c r="H10" s="12"/>
      <c r="I10" s="12"/>
      <c r="J10" s="37"/>
      <c r="K10" s="37"/>
      <c r="L10" s="38"/>
      <c r="M10" s="12"/>
      <c r="N10" s="12"/>
      <c r="O10" s="12"/>
      <c r="P10" s="12"/>
      <c r="Q10" s="12"/>
      <c r="R10" s="12"/>
      <c r="S10" s="12"/>
      <c r="T10" s="12"/>
      <c r="U10" s="12"/>
      <c r="V10" s="12"/>
      <c r="W10" s="12"/>
      <c r="X10" s="12"/>
    </row>
    <row r="11" spans="1:32" x14ac:dyDescent="0.3">
      <c r="B11" s="12"/>
      <c r="C11" s="12"/>
      <c r="D11" s="12"/>
      <c r="E11" s="35"/>
      <c r="F11" s="35"/>
      <c r="G11" s="12"/>
      <c r="H11" s="12"/>
      <c r="I11" s="12"/>
      <c r="J11" s="37"/>
      <c r="K11" s="37"/>
      <c r="L11" s="38"/>
      <c r="M11" s="12"/>
      <c r="N11" s="12"/>
      <c r="O11" s="12"/>
      <c r="P11" s="12"/>
      <c r="Q11" s="12"/>
      <c r="R11" s="12"/>
      <c r="S11" s="12"/>
      <c r="T11" s="12"/>
      <c r="U11" s="12"/>
      <c r="V11" s="12"/>
      <c r="W11" s="12"/>
      <c r="X11" s="12"/>
    </row>
    <row r="12" spans="1:32" x14ac:dyDescent="0.3">
      <c r="B12" s="12"/>
      <c r="C12" s="12"/>
      <c r="D12" s="12"/>
      <c r="E12" s="35"/>
      <c r="F12" s="35"/>
      <c r="G12" s="12"/>
      <c r="H12" s="12"/>
      <c r="I12" s="12"/>
      <c r="J12" s="37"/>
      <c r="K12" s="37"/>
      <c r="L12" s="38"/>
      <c r="M12" s="12"/>
      <c r="N12" s="12"/>
      <c r="O12" s="12"/>
      <c r="P12" s="12"/>
      <c r="Q12" s="12"/>
      <c r="R12" s="12"/>
      <c r="S12" s="12"/>
      <c r="T12" s="12"/>
      <c r="U12" s="12"/>
      <c r="V12" s="12"/>
      <c r="W12" s="12"/>
      <c r="X12" s="12"/>
    </row>
    <row r="13" spans="1:32" x14ac:dyDescent="0.3">
      <c r="B13" s="12"/>
      <c r="C13" s="12"/>
      <c r="D13" s="12"/>
      <c r="E13" s="35"/>
      <c r="F13" s="35"/>
      <c r="G13" s="12"/>
      <c r="H13" s="12"/>
      <c r="I13" s="12"/>
      <c r="J13" s="37"/>
      <c r="K13" s="37"/>
      <c r="L13" s="38"/>
      <c r="M13" s="12"/>
      <c r="N13" s="12"/>
      <c r="O13" s="12"/>
      <c r="P13" s="12"/>
      <c r="Q13" s="12"/>
      <c r="R13" s="12"/>
      <c r="S13" s="12"/>
      <c r="T13" s="12"/>
      <c r="U13" s="12"/>
      <c r="V13" s="12"/>
      <c r="W13" s="12"/>
      <c r="X13" s="12"/>
    </row>
    <row r="14" spans="1:32" s="15" customFormat="1" ht="49.5" customHeight="1" x14ac:dyDescent="0.25">
      <c r="B14" s="247" t="s">
        <v>24</v>
      </c>
      <c r="C14" s="247"/>
      <c r="D14" s="247"/>
      <c r="E14" s="247"/>
      <c r="F14" s="247"/>
      <c r="G14" s="247"/>
      <c r="H14" s="247"/>
      <c r="I14" s="247"/>
      <c r="J14" s="39"/>
      <c r="K14" s="39"/>
      <c r="L14" s="40"/>
      <c r="M14" s="14"/>
      <c r="N14" s="14"/>
      <c r="O14" s="14"/>
      <c r="P14" s="14"/>
      <c r="Q14" s="14"/>
      <c r="R14" s="14"/>
      <c r="S14" s="14"/>
      <c r="T14" s="14"/>
      <c r="U14" s="14"/>
      <c r="V14" s="14"/>
      <c r="W14" s="14"/>
      <c r="X14" s="14"/>
      <c r="Y14" s="14"/>
      <c r="Z14" s="14"/>
      <c r="AA14" s="14"/>
      <c r="AB14" s="14"/>
      <c r="AC14" s="14"/>
      <c r="AD14" s="14"/>
      <c r="AE14" s="14"/>
      <c r="AF14" s="14"/>
    </row>
    <row r="15" spans="1:32" s="15" customFormat="1" ht="123.75" customHeight="1" thickBot="1" x14ac:dyDescent="0.3">
      <c r="B15" s="87" t="s">
        <v>25</v>
      </c>
      <c r="C15" s="87" t="s">
        <v>6</v>
      </c>
      <c r="D15" s="88" t="s">
        <v>8</v>
      </c>
      <c r="E15" s="89" t="s">
        <v>26</v>
      </c>
      <c r="F15" s="89" t="s">
        <v>27</v>
      </c>
      <c r="G15" s="89" t="s">
        <v>28</v>
      </c>
      <c r="H15" s="90" t="s">
        <v>29</v>
      </c>
      <c r="I15" s="89" t="s">
        <v>30</v>
      </c>
      <c r="J15" s="39"/>
      <c r="K15" s="39"/>
      <c r="L15" s="40"/>
      <c r="M15" s="14"/>
      <c r="N15" s="14"/>
      <c r="O15" s="14"/>
      <c r="P15" s="14"/>
      <c r="Q15" s="14"/>
      <c r="R15" s="14"/>
      <c r="S15" s="14"/>
      <c r="T15" s="14"/>
      <c r="U15" s="14"/>
      <c r="V15" s="14"/>
      <c r="W15" s="14"/>
      <c r="X15" s="14"/>
      <c r="Y15" s="14"/>
      <c r="Z15" s="14"/>
      <c r="AA15" s="14"/>
      <c r="AB15" s="14"/>
      <c r="AC15" s="14"/>
      <c r="AD15" s="14"/>
      <c r="AE15" s="14"/>
      <c r="AF15" s="14"/>
    </row>
    <row r="16" spans="1:32" s="15" customFormat="1" ht="98.25" customHeight="1" x14ac:dyDescent="0.25">
      <c r="A16" s="44" t="str">
        <f>1&amp;E16</f>
        <v>1a</v>
      </c>
      <c r="B16" s="258" t="s">
        <v>31</v>
      </c>
      <c r="C16" s="222" t="s">
        <v>32</v>
      </c>
      <c r="D16" s="255" t="s">
        <v>33</v>
      </c>
      <c r="E16" s="91" t="s">
        <v>34</v>
      </c>
      <c r="F16" s="92" t="s">
        <v>35</v>
      </c>
      <c r="G16" s="93" t="s">
        <v>38</v>
      </c>
      <c r="H16" s="48" t="s">
        <v>189</v>
      </c>
      <c r="I16" s="94" t="str">
        <f>+IF(G16="Si","Mantenimiento del control",IF(G16="En proceso","Oportunidad de mejora","Deficiencia de control"))</f>
        <v>Mantenimiento del control</v>
      </c>
      <c r="J16" s="45">
        <f t="shared" ref="J16:J27" si="0">+IF(G16="Si",20,IF(G16="En proceso",10,0))</f>
        <v>20</v>
      </c>
      <c r="K16" s="45">
        <v>0.123</v>
      </c>
      <c r="L16" s="45">
        <f>+J16+K16</f>
        <v>20.123000000000001</v>
      </c>
    </row>
    <row r="17" spans="1:32" s="15" customFormat="1" ht="117" customHeight="1" x14ac:dyDescent="0.25">
      <c r="A17" s="44" t="str">
        <f t="shared" ref="A17:A27" si="1">1&amp;E17</f>
        <v>1b</v>
      </c>
      <c r="B17" s="259"/>
      <c r="C17" s="223"/>
      <c r="D17" s="256"/>
      <c r="E17" s="95" t="s">
        <v>36</v>
      </c>
      <c r="F17" s="96" t="s">
        <v>37</v>
      </c>
      <c r="G17" s="97" t="s">
        <v>38</v>
      </c>
      <c r="H17" s="49" t="s">
        <v>190</v>
      </c>
      <c r="I17" s="98" t="str">
        <f t="shared" ref="I17:I59" si="2">+IF(G17="Si","Mantenimiento del control",IF(G17="En proceso","Oportunidad de mejora","Deficiencia de control"))</f>
        <v>Mantenimiento del control</v>
      </c>
      <c r="J17" s="46">
        <f t="shared" si="0"/>
        <v>20</v>
      </c>
      <c r="K17" s="45">
        <v>0.1234</v>
      </c>
      <c r="L17" s="45">
        <f t="shared" ref="L17:L59" si="3">+J17+K17</f>
        <v>20.1234</v>
      </c>
    </row>
    <row r="18" spans="1:32" s="15" customFormat="1" ht="132" customHeight="1" x14ac:dyDescent="0.25">
      <c r="A18" s="44" t="str">
        <f t="shared" si="1"/>
        <v>1c</v>
      </c>
      <c r="B18" s="259"/>
      <c r="C18" s="223"/>
      <c r="D18" s="256"/>
      <c r="E18" s="95" t="s">
        <v>39</v>
      </c>
      <c r="F18" s="99" t="s">
        <v>40</v>
      </c>
      <c r="G18" s="100" t="s">
        <v>38</v>
      </c>
      <c r="H18" s="50" t="s">
        <v>191</v>
      </c>
      <c r="I18" s="101" t="str">
        <f t="shared" si="2"/>
        <v>Mantenimiento del control</v>
      </c>
      <c r="J18" s="46">
        <f t="shared" si="0"/>
        <v>20</v>
      </c>
      <c r="K18" s="45">
        <v>0.12345</v>
      </c>
      <c r="L18" s="45">
        <f t="shared" si="3"/>
        <v>20.123449999999998</v>
      </c>
    </row>
    <row r="19" spans="1:32" s="15" customFormat="1" ht="84.75" customHeight="1" x14ac:dyDescent="0.25">
      <c r="A19" s="44" t="str">
        <f t="shared" si="1"/>
        <v>1d</v>
      </c>
      <c r="B19" s="259"/>
      <c r="C19" s="223"/>
      <c r="D19" s="256"/>
      <c r="E19" s="95" t="s">
        <v>41</v>
      </c>
      <c r="F19" s="99" t="s">
        <v>42</v>
      </c>
      <c r="G19" s="100" t="s">
        <v>38</v>
      </c>
      <c r="H19" s="50" t="s">
        <v>192</v>
      </c>
      <c r="I19" s="101" t="str">
        <f t="shared" si="2"/>
        <v>Mantenimiento del control</v>
      </c>
      <c r="J19" s="46">
        <f t="shared" si="0"/>
        <v>20</v>
      </c>
      <c r="K19" s="45">
        <v>0.123456</v>
      </c>
      <c r="L19" s="45">
        <f t="shared" si="3"/>
        <v>20.123456000000001</v>
      </c>
    </row>
    <row r="20" spans="1:32" s="15" customFormat="1" ht="115.5" x14ac:dyDescent="0.25">
      <c r="A20" s="44" t="str">
        <f t="shared" si="1"/>
        <v>1e</v>
      </c>
      <c r="B20" s="259"/>
      <c r="C20" s="223"/>
      <c r="D20" s="256"/>
      <c r="E20" s="95" t="s">
        <v>43</v>
      </c>
      <c r="F20" s="99" t="s">
        <v>44</v>
      </c>
      <c r="G20" s="100" t="s">
        <v>38</v>
      </c>
      <c r="H20" s="50" t="s">
        <v>193</v>
      </c>
      <c r="I20" s="101" t="str">
        <f t="shared" si="2"/>
        <v>Mantenimiento del control</v>
      </c>
      <c r="J20" s="46">
        <f t="shared" si="0"/>
        <v>20</v>
      </c>
      <c r="K20" s="45">
        <v>0.12345678</v>
      </c>
      <c r="L20" s="45">
        <f t="shared" si="3"/>
        <v>20.123456780000001</v>
      </c>
    </row>
    <row r="21" spans="1:32" s="15" customFormat="1" ht="63.75" customHeight="1" x14ac:dyDescent="0.25">
      <c r="A21" s="44" t="str">
        <f t="shared" si="1"/>
        <v>1f</v>
      </c>
      <c r="B21" s="259"/>
      <c r="C21" s="223"/>
      <c r="D21" s="256"/>
      <c r="E21" s="95" t="s">
        <v>45</v>
      </c>
      <c r="F21" s="99" t="s">
        <v>46</v>
      </c>
      <c r="G21" s="100" t="s">
        <v>38</v>
      </c>
      <c r="H21" s="50" t="s">
        <v>194</v>
      </c>
      <c r="I21" s="101" t="str">
        <f t="shared" si="2"/>
        <v>Mantenimiento del control</v>
      </c>
      <c r="J21" s="46">
        <f t="shared" si="0"/>
        <v>20</v>
      </c>
      <c r="K21" s="45">
        <v>0.123456789</v>
      </c>
      <c r="L21" s="45">
        <f t="shared" si="3"/>
        <v>20.123456788999999</v>
      </c>
    </row>
    <row r="22" spans="1:32" s="15" customFormat="1" ht="65.25" customHeight="1" x14ac:dyDescent="0.25">
      <c r="A22" s="44" t="str">
        <f t="shared" si="1"/>
        <v>1g</v>
      </c>
      <c r="B22" s="259"/>
      <c r="C22" s="223"/>
      <c r="D22" s="256"/>
      <c r="E22" s="95" t="s">
        <v>47</v>
      </c>
      <c r="F22" s="99" t="s">
        <v>48</v>
      </c>
      <c r="G22" s="100" t="s">
        <v>38</v>
      </c>
      <c r="H22" s="50" t="s">
        <v>195</v>
      </c>
      <c r="I22" s="101" t="str">
        <f t="shared" si="2"/>
        <v>Mantenimiento del control</v>
      </c>
      <c r="J22" s="46">
        <f t="shared" si="0"/>
        <v>20</v>
      </c>
      <c r="K22" s="45">
        <v>0.12345678910000001</v>
      </c>
      <c r="L22" s="45">
        <f t="shared" si="3"/>
        <v>20.1234567891</v>
      </c>
    </row>
    <row r="23" spans="1:32" s="15" customFormat="1" ht="152.25" customHeight="1" x14ac:dyDescent="0.25">
      <c r="A23" s="44" t="str">
        <f t="shared" si="1"/>
        <v>1h</v>
      </c>
      <c r="B23" s="259"/>
      <c r="C23" s="223"/>
      <c r="D23" s="256"/>
      <c r="E23" s="95" t="s">
        <v>49</v>
      </c>
      <c r="F23" s="99" t="s">
        <v>50</v>
      </c>
      <c r="G23" s="100" t="s">
        <v>38</v>
      </c>
      <c r="H23" s="50" t="s">
        <v>196</v>
      </c>
      <c r="I23" s="101" t="str">
        <f t="shared" si="2"/>
        <v>Mantenimiento del control</v>
      </c>
      <c r="J23" s="46">
        <f t="shared" si="0"/>
        <v>20</v>
      </c>
      <c r="K23" s="45">
        <v>0.12345678911999999</v>
      </c>
      <c r="L23" s="45">
        <f t="shared" si="3"/>
        <v>20.123456789119999</v>
      </c>
    </row>
    <row r="24" spans="1:32" s="15" customFormat="1" ht="73.5" customHeight="1" x14ac:dyDescent="0.25">
      <c r="A24" s="44" t="str">
        <f t="shared" si="1"/>
        <v>1i</v>
      </c>
      <c r="B24" s="259"/>
      <c r="C24" s="223"/>
      <c r="D24" s="256"/>
      <c r="E24" s="95" t="s">
        <v>51</v>
      </c>
      <c r="F24" s="99" t="s">
        <v>52</v>
      </c>
      <c r="G24" s="100" t="s">
        <v>38</v>
      </c>
      <c r="H24" s="50" t="s">
        <v>225</v>
      </c>
      <c r="I24" s="101" t="str">
        <f t="shared" si="2"/>
        <v>Mantenimiento del control</v>
      </c>
      <c r="J24" s="46">
        <f t="shared" si="0"/>
        <v>20</v>
      </c>
      <c r="K24" s="45">
        <v>0.123456789123</v>
      </c>
      <c r="L24" s="45">
        <f t="shared" si="3"/>
        <v>20.123456789123001</v>
      </c>
    </row>
    <row r="25" spans="1:32" s="15" customFormat="1" ht="52.5" customHeight="1" x14ac:dyDescent="0.25">
      <c r="A25" s="44" t="str">
        <f t="shared" si="1"/>
        <v>1j</v>
      </c>
      <c r="B25" s="259"/>
      <c r="C25" s="223"/>
      <c r="D25" s="256"/>
      <c r="E25" s="95" t="s">
        <v>53</v>
      </c>
      <c r="F25" s="99" t="s">
        <v>54</v>
      </c>
      <c r="G25" s="100" t="s">
        <v>75</v>
      </c>
      <c r="H25" s="50" t="s">
        <v>224</v>
      </c>
      <c r="I25" s="101" t="str">
        <f t="shared" si="2"/>
        <v>Oportunidad de mejora</v>
      </c>
      <c r="J25" s="46">
        <f t="shared" si="0"/>
        <v>10</v>
      </c>
      <c r="K25" s="45">
        <v>0.1234567891234</v>
      </c>
      <c r="L25" s="45">
        <f t="shared" si="3"/>
        <v>10.1234567891234</v>
      </c>
    </row>
    <row r="26" spans="1:32" s="15" customFormat="1" ht="76.5" customHeight="1" x14ac:dyDescent="0.25">
      <c r="A26" s="44" t="str">
        <f t="shared" si="1"/>
        <v>1k</v>
      </c>
      <c r="B26" s="259"/>
      <c r="C26" s="223"/>
      <c r="D26" s="256"/>
      <c r="E26" s="95" t="s">
        <v>55</v>
      </c>
      <c r="F26" s="99" t="s">
        <v>56</v>
      </c>
      <c r="G26" s="100" t="s">
        <v>38</v>
      </c>
      <c r="H26" s="50" t="s">
        <v>198</v>
      </c>
      <c r="I26" s="101" t="str">
        <f t="shared" si="2"/>
        <v>Mantenimiento del control</v>
      </c>
      <c r="J26" s="46">
        <f t="shared" si="0"/>
        <v>20</v>
      </c>
      <c r="K26" s="45">
        <v>0.12345678912345</v>
      </c>
      <c r="L26" s="45">
        <f t="shared" si="3"/>
        <v>20.123456789123448</v>
      </c>
    </row>
    <row r="27" spans="1:32" s="15" customFormat="1" ht="50.25" thickBot="1" x14ac:dyDescent="0.3">
      <c r="A27" s="44" t="str">
        <f t="shared" si="1"/>
        <v>1l</v>
      </c>
      <c r="B27" s="260"/>
      <c r="C27" s="224"/>
      <c r="D27" s="257"/>
      <c r="E27" s="102" t="s">
        <v>57</v>
      </c>
      <c r="F27" s="103" t="s">
        <v>58</v>
      </c>
      <c r="G27" s="104" t="s">
        <v>38</v>
      </c>
      <c r="H27" s="51" t="s">
        <v>197</v>
      </c>
      <c r="I27" s="105" t="str">
        <f t="shared" si="2"/>
        <v>Mantenimiento del control</v>
      </c>
      <c r="J27" s="46">
        <f t="shared" si="0"/>
        <v>20</v>
      </c>
      <c r="K27" s="45">
        <v>0.12345678912345601</v>
      </c>
      <c r="L27" s="45">
        <f t="shared" si="3"/>
        <v>20.123456789123455</v>
      </c>
    </row>
    <row r="28" spans="1:32" s="15" customFormat="1" ht="66" x14ac:dyDescent="0.25">
      <c r="A28" s="44" t="str">
        <f>2&amp;E28</f>
        <v>2a</v>
      </c>
      <c r="B28" s="261" t="s">
        <v>59</v>
      </c>
      <c r="C28" s="225" t="s">
        <v>60</v>
      </c>
      <c r="D28" s="263" t="s">
        <v>61</v>
      </c>
      <c r="E28" s="91" t="s">
        <v>34</v>
      </c>
      <c r="F28" s="92" t="s">
        <v>62</v>
      </c>
      <c r="G28" s="93" t="s">
        <v>75</v>
      </c>
      <c r="H28" s="48" t="s">
        <v>200</v>
      </c>
      <c r="I28" s="94" t="str">
        <f t="shared" si="2"/>
        <v>Oportunidad de mejora</v>
      </c>
      <c r="J28" s="45">
        <f>+IF(G28="Si",40,IF(G28="En proceso",30,20))</f>
        <v>30</v>
      </c>
      <c r="K28" s="45">
        <v>0.23</v>
      </c>
      <c r="L28" s="45">
        <f t="shared" si="3"/>
        <v>30.23</v>
      </c>
    </row>
    <row r="29" spans="1:32" s="15" customFormat="1" ht="115.5" x14ac:dyDescent="0.25">
      <c r="A29" s="44" t="str">
        <f>2&amp;E29</f>
        <v>2b</v>
      </c>
      <c r="B29" s="239"/>
      <c r="C29" s="226"/>
      <c r="D29" s="240"/>
      <c r="E29" s="95" t="s">
        <v>36</v>
      </c>
      <c r="F29" s="99" t="s">
        <v>63</v>
      </c>
      <c r="G29" s="100" t="s">
        <v>38</v>
      </c>
      <c r="H29" s="50" t="s">
        <v>199</v>
      </c>
      <c r="I29" s="101" t="str">
        <f t="shared" si="2"/>
        <v>Mantenimiento del control</v>
      </c>
      <c r="J29" s="45">
        <f>+IF(G29="Si",40,IF(G29="En proceso",30,20))</f>
        <v>40</v>
      </c>
      <c r="K29" s="45">
        <v>0.23400000000000001</v>
      </c>
      <c r="L29" s="45">
        <f t="shared" si="3"/>
        <v>40.234000000000002</v>
      </c>
    </row>
    <row r="30" spans="1:32" s="15" customFormat="1" ht="115.5" x14ac:dyDescent="0.25">
      <c r="A30" s="44" t="str">
        <f>2&amp;E30</f>
        <v>2c</v>
      </c>
      <c r="B30" s="239"/>
      <c r="C30" s="226"/>
      <c r="D30" s="240"/>
      <c r="E30" s="95" t="s">
        <v>39</v>
      </c>
      <c r="F30" s="99" t="s">
        <v>64</v>
      </c>
      <c r="G30" s="100" t="s">
        <v>38</v>
      </c>
      <c r="H30" s="50" t="s">
        <v>199</v>
      </c>
      <c r="I30" s="101" t="str">
        <f t="shared" si="2"/>
        <v>Mantenimiento del control</v>
      </c>
      <c r="J30" s="45">
        <f>+IF(G30="Si",40,IF(G30="En proceso",30,20))</f>
        <v>40</v>
      </c>
      <c r="K30" s="45">
        <v>0.23449999999999999</v>
      </c>
      <c r="L30" s="45">
        <f t="shared" si="3"/>
        <v>40.234499999999997</v>
      </c>
    </row>
    <row r="31" spans="1:32" s="15" customFormat="1" ht="50.25" thickBot="1" x14ac:dyDescent="0.3">
      <c r="A31" s="44" t="str">
        <f>2&amp;E31</f>
        <v>2d</v>
      </c>
      <c r="B31" s="262"/>
      <c r="C31" s="227"/>
      <c r="D31" s="264"/>
      <c r="E31" s="102" t="s">
        <v>41</v>
      </c>
      <c r="F31" s="103" t="s">
        <v>65</v>
      </c>
      <c r="G31" s="104" t="s">
        <v>75</v>
      </c>
      <c r="H31" s="51" t="s">
        <v>201</v>
      </c>
      <c r="I31" s="105" t="str">
        <f t="shared" si="2"/>
        <v>Oportunidad de mejora</v>
      </c>
      <c r="J31" s="45">
        <f>+IF(G31="Si",40,IF(G31="En proceso",30,20))</f>
        <v>30</v>
      </c>
      <c r="K31" s="45">
        <v>0.23455999999999999</v>
      </c>
      <c r="L31" s="45">
        <f t="shared" si="3"/>
        <v>30.234559999999998</v>
      </c>
    </row>
    <row r="32" spans="1:32" s="15" customFormat="1" ht="49.5" customHeight="1" x14ac:dyDescent="0.25">
      <c r="A32" s="44" t="str">
        <f>3&amp;E32</f>
        <v>3a</v>
      </c>
      <c r="B32" s="237" t="s">
        <v>66</v>
      </c>
      <c r="C32" s="237" t="s">
        <v>60</v>
      </c>
      <c r="D32" s="238" t="s">
        <v>67</v>
      </c>
      <c r="E32" s="106" t="s">
        <v>34</v>
      </c>
      <c r="F32" s="99" t="s">
        <v>68</v>
      </c>
      <c r="G32" s="100" t="s">
        <v>75</v>
      </c>
      <c r="H32" s="50" t="s">
        <v>202</v>
      </c>
      <c r="I32" s="101" t="str">
        <f t="shared" si="2"/>
        <v>Oportunidad de mejora</v>
      </c>
      <c r="J32" s="45">
        <f t="shared" ref="J32:J37" si="4">+IF(G32="Si",40,IF(G32="En proceso",30,20))</f>
        <v>30</v>
      </c>
      <c r="K32" s="47">
        <v>0.234567</v>
      </c>
      <c r="L32" s="45">
        <f t="shared" ref="L32:L37" si="5">+J32+K32</f>
        <v>30.234566999999998</v>
      </c>
      <c r="M32" s="14"/>
      <c r="N32" s="14"/>
      <c r="O32" s="14"/>
      <c r="P32" s="14"/>
      <c r="Q32" s="14"/>
      <c r="R32" s="14"/>
      <c r="S32" s="14"/>
      <c r="T32" s="14"/>
      <c r="U32" s="14"/>
      <c r="V32" s="14"/>
      <c r="W32" s="14"/>
      <c r="X32" s="14"/>
      <c r="Y32" s="14"/>
      <c r="Z32" s="14"/>
      <c r="AA32" s="14"/>
      <c r="AB32" s="14"/>
      <c r="AC32" s="14"/>
      <c r="AD32" s="14"/>
      <c r="AE32" s="14"/>
      <c r="AF32" s="14"/>
    </row>
    <row r="33" spans="1:32" s="15" customFormat="1" ht="49.5" customHeight="1" x14ac:dyDescent="0.25">
      <c r="A33" s="44" t="str">
        <f>3&amp;E33</f>
        <v>3b</v>
      </c>
      <c r="B33" s="237"/>
      <c r="C33" s="237"/>
      <c r="D33" s="238"/>
      <c r="E33" s="106" t="s">
        <v>36</v>
      </c>
      <c r="F33" s="99" t="s">
        <v>69</v>
      </c>
      <c r="G33" s="100" t="s">
        <v>75</v>
      </c>
      <c r="H33" s="50" t="s">
        <v>202</v>
      </c>
      <c r="I33" s="101" t="str">
        <f t="shared" si="2"/>
        <v>Oportunidad de mejora</v>
      </c>
      <c r="J33" s="45">
        <f t="shared" si="4"/>
        <v>30</v>
      </c>
      <c r="K33" s="47">
        <v>0.23456779999999999</v>
      </c>
      <c r="L33" s="45">
        <f t="shared" si="5"/>
        <v>30.234567800000001</v>
      </c>
      <c r="M33" s="14"/>
      <c r="N33" s="14"/>
      <c r="O33" s="14"/>
      <c r="P33" s="14"/>
      <c r="Q33" s="14"/>
      <c r="R33" s="14"/>
      <c r="S33" s="14"/>
      <c r="T33" s="14"/>
      <c r="U33" s="14"/>
      <c r="V33" s="14"/>
      <c r="W33" s="14"/>
      <c r="X33" s="14"/>
      <c r="Y33" s="14"/>
      <c r="Z33" s="14"/>
      <c r="AA33" s="14"/>
      <c r="AB33" s="14"/>
      <c r="AC33" s="14"/>
      <c r="AD33" s="14"/>
      <c r="AE33" s="14"/>
      <c r="AF33" s="14"/>
    </row>
    <row r="34" spans="1:32" s="15" customFormat="1" ht="66" customHeight="1" thickBot="1" x14ac:dyDescent="0.3">
      <c r="A34" s="44" t="str">
        <f>3&amp;E34</f>
        <v>3c</v>
      </c>
      <c r="B34" s="237"/>
      <c r="C34" s="237"/>
      <c r="D34" s="238"/>
      <c r="E34" s="106" t="s">
        <v>39</v>
      </c>
      <c r="F34" s="99" t="s">
        <v>70</v>
      </c>
      <c r="G34" s="100" t="s">
        <v>75</v>
      </c>
      <c r="H34" s="50" t="s">
        <v>202</v>
      </c>
      <c r="I34" s="101" t="str">
        <f t="shared" si="2"/>
        <v>Oportunidad de mejora</v>
      </c>
      <c r="J34" s="45">
        <f t="shared" si="4"/>
        <v>30</v>
      </c>
      <c r="K34" s="47">
        <v>0.23456789</v>
      </c>
      <c r="L34" s="45">
        <f t="shared" si="5"/>
        <v>30.234567890000001</v>
      </c>
      <c r="M34" s="14"/>
      <c r="N34" s="14"/>
      <c r="O34" s="14"/>
      <c r="P34" s="14"/>
      <c r="Q34" s="14"/>
      <c r="R34" s="14"/>
      <c r="S34" s="14"/>
      <c r="T34" s="14"/>
      <c r="U34" s="14"/>
      <c r="V34" s="14"/>
      <c r="W34" s="14"/>
      <c r="X34" s="14"/>
      <c r="Y34" s="14"/>
      <c r="Z34" s="14"/>
      <c r="AA34" s="14"/>
      <c r="AB34" s="14"/>
      <c r="AC34" s="14"/>
      <c r="AD34" s="14"/>
      <c r="AE34" s="14"/>
      <c r="AF34" s="14"/>
    </row>
    <row r="35" spans="1:32" s="15" customFormat="1" ht="60.75" customHeight="1" x14ac:dyDescent="0.25">
      <c r="A35" s="44" t="str">
        <f>4&amp;E35</f>
        <v>4a</v>
      </c>
      <c r="B35" s="239" t="s">
        <v>71</v>
      </c>
      <c r="C35" s="226" t="s">
        <v>60</v>
      </c>
      <c r="D35" s="240" t="s">
        <v>72</v>
      </c>
      <c r="E35" s="91" t="s">
        <v>34</v>
      </c>
      <c r="F35" s="92" t="s">
        <v>73</v>
      </c>
      <c r="G35" s="93" t="s">
        <v>38</v>
      </c>
      <c r="H35" s="48" t="s">
        <v>203</v>
      </c>
      <c r="I35" s="94" t="str">
        <f t="shared" si="2"/>
        <v>Mantenimiento del control</v>
      </c>
      <c r="J35" s="45">
        <f t="shared" si="4"/>
        <v>40</v>
      </c>
      <c r="K35" s="47">
        <v>0.23456789119999999</v>
      </c>
      <c r="L35" s="45">
        <f t="shared" si="5"/>
        <v>40.234567891200001</v>
      </c>
      <c r="M35" s="14"/>
      <c r="N35" s="14"/>
      <c r="O35" s="14"/>
      <c r="P35" s="14"/>
      <c r="Q35" s="14"/>
    </row>
    <row r="36" spans="1:32" s="15" customFormat="1" ht="82.5" x14ac:dyDescent="0.25">
      <c r="A36" s="44" t="str">
        <f>4&amp;E36</f>
        <v>4b</v>
      </c>
      <c r="B36" s="239"/>
      <c r="C36" s="226"/>
      <c r="D36" s="240"/>
      <c r="E36" s="95" t="s">
        <v>36</v>
      </c>
      <c r="F36" s="99" t="s">
        <v>74</v>
      </c>
      <c r="G36" s="100" t="s">
        <v>38</v>
      </c>
      <c r="H36" s="50" t="s">
        <v>204</v>
      </c>
      <c r="I36" s="101" t="str">
        <f t="shared" si="2"/>
        <v>Mantenimiento del control</v>
      </c>
      <c r="J36" s="45">
        <f t="shared" si="4"/>
        <v>40</v>
      </c>
      <c r="K36" s="47">
        <v>0.23456789122999999</v>
      </c>
      <c r="L36" s="45">
        <f t="shared" si="5"/>
        <v>40.23456789123</v>
      </c>
      <c r="M36" s="14"/>
      <c r="N36" s="14"/>
      <c r="O36" s="14"/>
      <c r="P36" s="14"/>
      <c r="Q36" s="14"/>
    </row>
    <row r="37" spans="1:32" s="15" customFormat="1" ht="99.75" thickBot="1" x14ac:dyDescent="0.3">
      <c r="A37" s="44" t="str">
        <f>4&amp;E37</f>
        <v>4c</v>
      </c>
      <c r="B37" s="239"/>
      <c r="C37" s="226"/>
      <c r="D37" s="240"/>
      <c r="E37" s="95" t="s">
        <v>39</v>
      </c>
      <c r="F37" s="99" t="s">
        <v>76</v>
      </c>
      <c r="G37" s="100" t="s">
        <v>75</v>
      </c>
      <c r="H37" s="50" t="s">
        <v>205</v>
      </c>
      <c r="I37" s="101" t="str">
        <f t="shared" si="2"/>
        <v>Oportunidad de mejora</v>
      </c>
      <c r="J37" s="45">
        <f t="shared" si="4"/>
        <v>30</v>
      </c>
      <c r="K37" s="47">
        <v>0.23456789123399999</v>
      </c>
      <c r="L37" s="45">
        <f t="shared" si="5"/>
        <v>30.234567891234001</v>
      </c>
      <c r="M37" s="14"/>
      <c r="N37" s="14"/>
      <c r="O37" s="14"/>
      <c r="P37" s="14"/>
      <c r="Q37" s="14"/>
    </row>
    <row r="38" spans="1:32" s="15" customFormat="1" ht="85.5" customHeight="1" thickBot="1" x14ac:dyDescent="0.3">
      <c r="A38" s="44" t="str">
        <f>5&amp;E38</f>
        <v>5a</v>
      </c>
      <c r="B38" s="241" t="s">
        <v>77</v>
      </c>
      <c r="C38" s="228" t="s">
        <v>78</v>
      </c>
      <c r="D38" s="244" t="s">
        <v>79</v>
      </c>
      <c r="E38" s="91" t="s">
        <v>34</v>
      </c>
      <c r="F38" s="107" t="s">
        <v>80</v>
      </c>
      <c r="G38" s="108" t="s">
        <v>75</v>
      </c>
      <c r="H38" s="52" t="s">
        <v>206</v>
      </c>
      <c r="I38" s="109" t="str">
        <f t="shared" si="2"/>
        <v>Oportunidad de mejora</v>
      </c>
      <c r="J38" s="45">
        <f>+IF(G38="Si",60,IF(G38="En proceso",50,40))</f>
        <v>50</v>
      </c>
      <c r="K38" s="45">
        <v>0.31</v>
      </c>
      <c r="L38" s="45">
        <f t="shared" si="3"/>
        <v>50.31</v>
      </c>
    </row>
    <row r="39" spans="1:32" s="15" customFormat="1" ht="99.75" thickBot="1" x14ac:dyDescent="0.3">
      <c r="A39" s="44" t="str">
        <f>5&amp;E39</f>
        <v>5b</v>
      </c>
      <c r="B39" s="242"/>
      <c r="C39" s="229"/>
      <c r="D39" s="245"/>
      <c r="E39" s="95" t="s">
        <v>36</v>
      </c>
      <c r="F39" s="99" t="s">
        <v>81</v>
      </c>
      <c r="G39" s="100" t="s">
        <v>75</v>
      </c>
      <c r="H39" s="52" t="s">
        <v>206</v>
      </c>
      <c r="I39" s="101" t="str">
        <f t="shared" si="2"/>
        <v>Oportunidad de mejora</v>
      </c>
      <c r="J39" s="45">
        <f>+IF(G39="Si",60,IF(G39="En proceso",50,40))</f>
        <v>50</v>
      </c>
      <c r="K39" s="45">
        <v>0.32300000000000001</v>
      </c>
      <c r="L39" s="45">
        <f t="shared" si="3"/>
        <v>50.323</v>
      </c>
    </row>
    <row r="40" spans="1:32" s="15" customFormat="1" ht="99" x14ac:dyDescent="0.25">
      <c r="A40" s="44" t="str">
        <f>5&amp;E40</f>
        <v>5c</v>
      </c>
      <c r="B40" s="242"/>
      <c r="C40" s="229"/>
      <c r="D40" s="245"/>
      <c r="E40" s="95" t="s">
        <v>39</v>
      </c>
      <c r="F40" s="99" t="s">
        <v>82</v>
      </c>
      <c r="G40" s="100" t="s">
        <v>75</v>
      </c>
      <c r="H40" s="52" t="s">
        <v>206</v>
      </c>
      <c r="I40" s="101" t="str">
        <f t="shared" si="2"/>
        <v>Oportunidad de mejora</v>
      </c>
      <c r="J40" s="45">
        <f>+IF(G40="Si",60,IF(G40="En proceso",50,40))</f>
        <v>50</v>
      </c>
      <c r="K40" s="45">
        <v>0.32400000000000001</v>
      </c>
      <c r="L40" s="45">
        <f t="shared" si="3"/>
        <v>50.323999999999998</v>
      </c>
    </row>
    <row r="41" spans="1:32" s="15" customFormat="1" ht="99" x14ac:dyDescent="0.25">
      <c r="A41" s="44" t="str">
        <f>5&amp;E41</f>
        <v>5d</v>
      </c>
      <c r="B41" s="242"/>
      <c r="C41" s="229"/>
      <c r="D41" s="245"/>
      <c r="E41" s="95" t="s">
        <v>41</v>
      </c>
      <c r="F41" s="99" t="s">
        <v>83</v>
      </c>
      <c r="G41" s="100" t="s">
        <v>75</v>
      </c>
      <c r="H41" s="50" t="s">
        <v>207</v>
      </c>
      <c r="I41" s="101" t="str">
        <f t="shared" si="2"/>
        <v>Oportunidad de mejora</v>
      </c>
      <c r="J41" s="45">
        <f>+IF(G41="Si",60,IF(G41="En proceso",50,40))</f>
        <v>50</v>
      </c>
      <c r="K41" s="45">
        <v>0.32500000000000001</v>
      </c>
      <c r="L41" s="45">
        <f t="shared" si="3"/>
        <v>50.325000000000003</v>
      </c>
    </row>
    <row r="42" spans="1:32" s="15" customFormat="1" ht="50.25" thickBot="1" x14ac:dyDescent="0.3">
      <c r="A42" s="44" t="str">
        <f>5&amp;E42</f>
        <v>5e</v>
      </c>
      <c r="B42" s="243"/>
      <c r="C42" s="230"/>
      <c r="D42" s="246"/>
      <c r="E42" s="102" t="s">
        <v>43</v>
      </c>
      <c r="F42" s="103" t="s">
        <v>84</v>
      </c>
      <c r="G42" s="104" t="s">
        <v>38</v>
      </c>
      <c r="H42" s="51" t="s">
        <v>208</v>
      </c>
      <c r="I42" s="105" t="str">
        <f t="shared" si="2"/>
        <v>Mantenimiento del control</v>
      </c>
      <c r="J42" s="45">
        <f>+IF(G42="Si",60,IF(G42="En proceso",50,40))</f>
        <v>60</v>
      </c>
      <c r="K42" s="45">
        <v>0.32600000000000001</v>
      </c>
      <c r="L42" s="45">
        <f t="shared" si="3"/>
        <v>60.326000000000001</v>
      </c>
    </row>
    <row r="43" spans="1:32" s="15" customFormat="1" ht="82.5" x14ac:dyDescent="0.25">
      <c r="A43" s="44" t="str">
        <f>6&amp;E43</f>
        <v>6a</v>
      </c>
      <c r="B43" s="251" t="s">
        <v>85</v>
      </c>
      <c r="C43" s="231" t="s">
        <v>86</v>
      </c>
      <c r="D43" s="248" t="s">
        <v>87</v>
      </c>
      <c r="E43" s="91" t="s">
        <v>34</v>
      </c>
      <c r="F43" s="92" t="s">
        <v>88</v>
      </c>
      <c r="G43" s="93" t="s">
        <v>75</v>
      </c>
      <c r="H43" s="48" t="s">
        <v>209</v>
      </c>
      <c r="I43" s="94" t="str">
        <f t="shared" si="2"/>
        <v>Oportunidad de mejora</v>
      </c>
      <c r="J43" s="45">
        <f t="shared" ref="J43:J49" si="6">+IF(G43="Si",80,IF(G43="En proceso",70,60))</f>
        <v>70</v>
      </c>
      <c r="K43" s="45">
        <v>0.41199999999999998</v>
      </c>
      <c r="L43" s="45">
        <f t="shared" si="3"/>
        <v>70.412000000000006</v>
      </c>
    </row>
    <row r="44" spans="1:32" s="15" customFormat="1" ht="49.5" x14ac:dyDescent="0.25">
      <c r="A44" s="44" t="str">
        <f t="shared" ref="A44:A49" si="7">6&amp;E44</f>
        <v>6b</v>
      </c>
      <c r="B44" s="252"/>
      <c r="C44" s="232"/>
      <c r="D44" s="249"/>
      <c r="E44" s="95" t="s">
        <v>36</v>
      </c>
      <c r="F44" s="99" t="s">
        <v>89</v>
      </c>
      <c r="G44" s="100" t="s">
        <v>38</v>
      </c>
      <c r="H44" s="50" t="s">
        <v>210</v>
      </c>
      <c r="I44" s="101" t="str">
        <f t="shared" si="2"/>
        <v>Mantenimiento del control</v>
      </c>
      <c r="J44" s="45">
        <f t="shared" si="6"/>
        <v>80</v>
      </c>
      <c r="K44" s="45">
        <v>0.4123</v>
      </c>
      <c r="L44" s="45">
        <f t="shared" si="3"/>
        <v>80.412300000000002</v>
      </c>
    </row>
    <row r="45" spans="1:32" s="15" customFormat="1" ht="49.5" x14ac:dyDescent="0.25">
      <c r="A45" s="44" t="str">
        <f t="shared" si="7"/>
        <v>6c</v>
      </c>
      <c r="B45" s="252"/>
      <c r="C45" s="232"/>
      <c r="D45" s="249"/>
      <c r="E45" s="95" t="s">
        <v>39</v>
      </c>
      <c r="F45" s="99" t="s">
        <v>90</v>
      </c>
      <c r="G45" s="100" t="s">
        <v>38</v>
      </c>
      <c r="H45" s="50" t="s">
        <v>210</v>
      </c>
      <c r="I45" s="101" t="str">
        <f t="shared" si="2"/>
        <v>Mantenimiento del control</v>
      </c>
      <c r="J45" s="45">
        <f t="shared" si="6"/>
        <v>80</v>
      </c>
      <c r="K45" s="45">
        <v>0.41233999999999998</v>
      </c>
      <c r="L45" s="45">
        <f t="shared" si="3"/>
        <v>80.41234</v>
      </c>
    </row>
    <row r="46" spans="1:32" s="15" customFormat="1" ht="66" x14ac:dyDescent="0.25">
      <c r="A46" s="44" t="str">
        <f t="shared" si="7"/>
        <v>6d</v>
      </c>
      <c r="B46" s="252"/>
      <c r="C46" s="232"/>
      <c r="D46" s="249"/>
      <c r="E46" s="95" t="s">
        <v>41</v>
      </c>
      <c r="F46" s="99" t="s">
        <v>91</v>
      </c>
      <c r="G46" s="100" t="s">
        <v>38</v>
      </c>
      <c r="H46" s="50" t="s">
        <v>211</v>
      </c>
      <c r="I46" s="101" t="str">
        <f t="shared" si="2"/>
        <v>Mantenimiento del control</v>
      </c>
      <c r="J46" s="45">
        <f t="shared" si="6"/>
        <v>80</v>
      </c>
      <c r="K46" s="45">
        <v>0.41234500000000002</v>
      </c>
      <c r="L46" s="45">
        <f t="shared" si="3"/>
        <v>80.412345000000002</v>
      </c>
    </row>
    <row r="47" spans="1:32" s="15" customFormat="1" ht="66" x14ac:dyDescent="0.25">
      <c r="A47" s="44" t="str">
        <f t="shared" si="7"/>
        <v>6e</v>
      </c>
      <c r="B47" s="252"/>
      <c r="C47" s="232"/>
      <c r="D47" s="249"/>
      <c r="E47" s="95" t="s">
        <v>43</v>
      </c>
      <c r="F47" s="99" t="s">
        <v>92</v>
      </c>
      <c r="G47" s="100" t="s">
        <v>38</v>
      </c>
      <c r="H47" s="50" t="s">
        <v>212</v>
      </c>
      <c r="I47" s="101" t="str">
        <f t="shared" si="2"/>
        <v>Mantenimiento del control</v>
      </c>
      <c r="J47" s="45">
        <f t="shared" si="6"/>
        <v>80</v>
      </c>
      <c r="K47" s="45">
        <v>0.41234559999999998</v>
      </c>
      <c r="L47" s="45">
        <f t="shared" si="3"/>
        <v>80.412345599999995</v>
      </c>
    </row>
    <row r="48" spans="1:32" s="15" customFormat="1" ht="82.5" x14ac:dyDescent="0.25">
      <c r="A48" s="44" t="str">
        <f t="shared" si="7"/>
        <v>6f</v>
      </c>
      <c r="B48" s="252"/>
      <c r="C48" s="232"/>
      <c r="D48" s="249"/>
      <c r="E48" s="95" t="s">
        <v>45</v>
      </c>
      <c r="F48" s="99" t="s">
        <v>93</v>
      </c>
      <c r="G48" s="100" t="s">
        <v>38</v>
      </c>
      <c r="H48" s="50" t="s">
        <v>214</v>
      </c>
      <c r="I48" s="101" t="str">
        <f t="shared" si="2"/>
        <v>Mantenimiento del control</v>
      </c>
      <c r="J48" s="45">
        <f t="shared" si="6"/>
        <v>80</v>
      </c>
      <c r="K48" s="45">
        <v>0.41234567</v>
      </c>
      <c r="L48" s="45">
        <f t="shared" si="3"/>
        <v>80.412345669999993</v>
      </c>
    </row>
    <row r="49" spans="1:17" s="15" customFormat="1" ht="66.75" thickBot="1" x14ac:dyDescent="0.3">
      <c r="A49" s="44" t="str">
        <f t="shared" si="7"/>
        <v>6g</v>
      </c>
      <c r="B49" s="253"/>
      <c r="C49" s="233"/>
      <c r="D49" s="250"/>
      <c r="E49" s="102" t="s">
        <v>47</v>
      </c>
      <c r="F49" s="103" t="s">
        <v>94</v>
      </c>
      <c r="G49" s="104" t="s">
        <v>75</v>
      </c>
      <c r="H49" s="51" t="s">
        <v>213</v>
      </c>
      <c r="I49" s="105" t="str">
        <f t="shared" si="2"/>
        <v>Oportunidad de mejora</v>
      </c>
      <c r="J49" s="45">
        <f t="shared" si="6"/>
        <v>70</v>
      </c>
      <c r="K49" s="45">
        <v>0.41234567799999999</v>
      </c>
      <c r="L49" s="45">
        <f t="shared" si="3"/>
        <v>70.412345677999994</v>
      </c>
    </row>
    <row r="50" spans="1:17" s="15" customFormat="1" ht="54.75" customHeight="1" x14ac:dyDescent="0.25">
      <c r="A50" s="44" t="str">
        <f>7&amp;E50</f>
        <v>7a</v>
      </c>
      <c r="B50" s="219" t="s">
        <v>95</v>
      </c>
      <c r="C50" s="234" t="s">
        <v>96</v>
      </c>
      <c r="D50" s="216" t="s">
        <v>97</v>
      </c>
      <c r="E50" s="91" t="s">
        <v>34</v>
      </c>
      <c r="F50" s="92" t="s">
        <v>98</v>
      </c>
      <c r="G50" s="93" t="s">
        <v>75</v>
      </c>
      <c r="H50" s="48" t="s">
        <v>215</v>
      </c>
      <c r="I50" s="94" t="str">
        <f t="shared" si="2"/>
        <v>Oportunidad de mejora</v>
      </c>
      <c r="J50" s="45">
        <f>+IF(G50="Si",120,IF(G50="En proceso",100,80))</f>
        <v>100</v>
      </c>
      <c r="K50" s="45">
        <v>0.85099999999999998</v>
      </c>
      <c r="L50" s="45">
        <f t="shared" si="3"/>
        <v>100.851</v>
      </c>
    </row>
    <row r="51" spans="1:17" s="15" customFormat="1" ht="82.5" x14ac:dyDescent="0.25">
      <c r="A51" s="44" t="str">
        <f>7&amp;E51</f>
        <v>7d</v>
      </c>
      <c r="B51" s="220"/>
      <c r="C51" s="235"/>
      <c r="D51" s="217"/>
      <c r="E51" s="95" t="s">
        <v>41</v>
      </c>
      <c r="F51" s="99" t="s">
        <v>99</v>
      </c>
      <c r="G51" s="100" t="s">
        <v>75</v>
      </c>
      <c r="H51" s="50" t="s">
        <v>216</v>
      </c>
      <c r="I51" s="101" t="str">
        <f t="shared" si="2"/>
        <v>Oportunidad de mejora</v>
      </c>
      <c r="J51" s="45">
        <f t="shared" ref="J51:J59" si="8">+IF(G51="Si",120,IF(G51="En proceso",100,80))</f>
        <v>100</v>
      </c>
      <c r="K51" s="45">
        <v>0.85119999999999996</v>
      </c>
      <c r="L51" s="45">
        <f t="shared" si="3"/>
        <v>100.85120000000001</v>
      </c>
    </row>
    <row r="52" spans="1:17" s="15" customFormat="1" ht="99" x14ac:dyDescent="0.25">
      <c r="A52" s="44" t="str">
        <f>7&amp;E52</f>
        <v>7f</v>
      </c>
      <c r="B52" s="220"/>
      <c r="C52" s="235"/>
      <c r="D52" s="217"/>
      <c r="E52" s="95" t="s">
        <v>45</v>
      </c>
      <c r="F52" s="99" t="s">
        <v>100</v>
      </c>
      <c r="G52" s="100" t="s">
        <v>75</v>
      </c>
      <c r="H52" s="50" t="s">
        <v>217</v>
      </c>
      <c r="I52" s="101" t="str">
        <f t="shared" si="2"/>
        <v>Oportunidad de mejora</v>
      </c>
      <c r="J52" s="45">
        <f t="shared" si="8"/>
        <v>100</v>
      </c>
      <c r="K52" s="45">
        <v>0.85123000000000004</v>
      </c>
      <c r="L52" s="45">
        <f t="shared" si="3"/>
        <v>100.85123</v>
      </c>
    </row>
    <row r="53" spans="1:17" s="15" customFormat="1" ht="66.75" thickBot="1" x14ac:dyDescent="0.3">
      <c r="A53" s="44" t="str">
        <f>7&amp;E53</f>
        <v>7g</v>
      </c>
      <c r="B53" s="221"/>
      <c r="C53" s="236"/>
      <c r="D53" s="254"/>
      <c r="E53" s="102" t="s">
        <v>47</v>
      </c>
      <c r="F53" s="103" t="s">
        <v>101</v>
      </c>
      <c r="G53" s="104" t="s">
        <v>38</v>
      </c>
      <c r="H53" s="51" t="s">
        <v>218</v>
      </c>
      <c r="I53" s="105" t="str">
        <f t="shared" si="2"/>
        <v>Mantenimiento del control</v>
      </c>
      <c r="J53" s="45">
        <f t="shared" si="8"/>
        <v>120</v>
      </c>
      <c r="K53" s="45">
        <v>0.85123400000000005</v>
      </c>
      <c r="L53" s="45">
        <f t="shared" si="3"/>
        <v>120.85123400000001</v>
      </c>
    </row>
    <row r="54" spans="1:17" s="15" customFormat="1" ht="102.75" customHeight="1" thickBot="1" x14ac:dyDescent="0.3">
      <c r="A54" s="44" t="str">
        <f>8&amp;E54</f>
        <v>8h</v>
      </c>
      <c r="B54" s="110" t="s">
        <v>102</v>
      </c>
      <c r="C54" s="111" t="s">
        <v>96</v>
      </c>
      <c r="D54" s="112" t="s">
        <v>103</v>
      </c>
      <c r="E54" s="91" t="s">
        <v>49</v>
      </c>
      <c r="F54" s="92" t="s">
        <v>104</v>
      </c>
      <c r="G54" s="93" t="s">
        <v>38</v>
      </c>
      <c r="H54" s="48" t="s">
        <v>219</v>
      </c>
      <c r="I54" s="94" t="str">
        <f t="shared" si="2"/>
        <v>Mantenimiento del control</v>
      </c>
      <c r="J54" s="45">
        <f t="shared" si="8"/>
        <v>120</v>
      </c>
      <c r="K54" s="45">
        <v>0.85123450000000001</v>
      </c>
      <c r="L54" s="45">
        <f t="shared" si="3"/>
        <v>120.8512345</v>
      </c>
    </row>
    <row r="55" spans="1:17" s="15" customFormat="1" ht="66.75" thickBot="1" x14ac:dyDescent="0.3">
      <c r="A55" s="44" t="str">
        <f>9&amp;E55</f>
        <v>9a</v>
      </c>
      <c r="B55" s="219" t="s">
        <v>105</v>
      </c>
      <c r="C55" s="234" t="s">
        <v>96</v>
      </c>
      <c r="D55" s="216" t="s">
        <v>106</v>
      </c>
      <c r="E55" s="91" t="s">
        <v>34</v>
      </c>
      <c r="F55" s="92" t="s">
        <v>107</v>
      </c>
      <c r="G55" s="93" t="s">
        <v>75</v>
      </c>
      <c r="H55" s="48" t="s">
        <v>220</v>
      </c>
      <c r="I55" s="94" t="str">
        <f t="shared" si="2"/>
        <v>Oportunidad de mejora</v>
      </c>
      <c r="J55" s="45">
        <f t="shared" si="8"/>
        <v>100</v>
      </c>
      <c r="K55" s="47">
        <v>0.85123455999999997</v>
      </c>
      <c r="L55" s="45">
        <f t="shared" si="3"/>
        <v>100.85123455999999</v>
      </c>
      <c r="M55" s="14"/>
      <c r="N55" s="14"/>
      <c r="O55" s="14"/>
      <c r="P55" s="14"/>
      <c r="Q55" s="14"/>
    </row>
    <row r="56" spans="1:17" s="15" customFormat="1" ht="66.75" thickBot="1" x14ac:dyDescent="0.3">
      <c r="A56" s="44" t="str">
        <f>9&amp;E56</f>
        <v>9b</v>
      </c>
      <c r="B56" s="220"/>
      <c r="C56" s="235"/>
      <c r="D56" s="217"/>
      <c r="E56" s="95" t="s">
        <v>36</v>
      </c>
      <c r="F56" s="99" t="s">
        <v>108</v>
      </c>
      <c r="G56" s="100" t="s">
        <v>75</v>
      </c>
      <c r="H56" s="48" t="s">
        <v>220</v>
      </c>
      <c r="I56" s="101" t="str">
        <f t="shared" si="2"/>
        <v>Oportunidad de mejora</v>
      </c>
      <c r="J56" s="45">
        <f t="shared" si="8"/>
        <v>100</v>
      </c>
      <c r="K56" s="47">
        <v>0.851234567</v>
      </c>
      <c r="L56" s="45">
        <f t="shared" si="3"/>
        <v>100.85123456700001</v>
      </c>
      <c r="M56" s="14"/>
      <c r="N56" s="14"/>
      <c r="O56" s="14"/>
      <c r="P56" s="14"/>
      <c r="Q56" s="14"/>
    </row>
    <row r="57" spans="1:17" s="15" customFormat="1" ht="77.25" customHeight="1" thickBot="1" x14ac:dyDescent="0.3">
      <c r="A57" s="44" t="str">
        <f>9&amp;E57</f>
        <v>9c</v>
      </c>
      <c r="B57" s="220"/>
      <c r="C57" s="235"/>
      <c r="D57" s="217"/>
      <c r="E57" s="95" t="s">
        <v>39</v>
      </c>
      <c r="F57" s="99" t="s">
        <v>109</v>
      </c>
      <c r="G57" s="100" t="s">
        <v>75</v>
      </c>
      <c r="H57" s="48" t="s">
        <v>220</v>
      </c>
      <c r="I57" s="101" t="str">
        <f t="shared" si="2"/>
        <v>Oportunidad de mejora</v>
      </c>
      <c r="J57" s="45">
        <f t="shared" si="8"/>
        <v>100</v>
      </c>
      <c r="K57" s="47">
        <v>0.85123456779999995</v>
      </c>
      <c r="L57" s="45">
        <f t="shared" si="3"/>
        <v>100.85123456780001</v>
      </c>
      <c r="M57" s="14"/>
      <c r="N57" s="14"/>
      <c r="O57" s="14"/>
      <c r="P57" s="14"/>
      <c r="Q57" s="14"/>
    </row>
    <row r="58" spans="1:17" s="15" customFormat="1" ht="77.25" customHeight="1" x14ac:dyDescent="0.25">
      <c r="A58" s="44" t="str">
        <f>9&amp;E58</f>
        <v>9d</v>
      </c>
      <c r="B58" s="220"/>
      <c r="C58" s="235"/>
      <c r="D58" s="217"/>
      <c r="E58" s="95" t="s">
        <v>41</v>
      </c>
      <c r="F58" s="99" t="s">
        <v>110</v>
      </c>
      <c r="G58" s="100" t="s">
        <v>75</v>
      </c>
      <c r="H58" s="48" t="s">
        <v>222</v>
      </c>
      <c r="I58" s="101" t="str">
        <f t="shared" si="2"/>
        <v>Oportunidad de mejora</v>
      </c>
      <c r="J58" s="45">
        <f t="shared" si="8"/>
        <v>100</v>
      </c>
      <c r="K58" s="47">
        <v>0.85123456788999996</v>
      </c>
      <c r="L58" s="45">
        <f t="shared" si="3"/>
        <v>100.85123456789</v>
      </c>
      <c r="M58" s="14"/>
      <c r="N58" s="14"/>
      <c r="O58" s="14"/>
      <c r="P58" s="14"/>
      <c r="Q58" s="14"/>
    </row>
    <row r="59" spans="1:17" s="15" customFormat="1" ht="77.25" customHeight="1" thickBot="1" x14ac:dyDescent="0.3">
      <c r="A59" s="44" t="str">
        <f>9&amp;E59</f>
        <v>9e</v>
      </c>
      <c r="B59" s="221"/>
      <c r="C59" s="235"/>
      <c r="D59" s="218"/>
      <c r="E59" s="102" t="s">
        <v>43</v>
      </c>
      <c r="F59" s="103" t="s">
        <v>111</v>
      </c>
      <c r="G59" s="104" t="s">
        <v>38</v>
      </c>
      <c r="H59" s="51" t="s">
        <v>221</v>
      </c>
      <c r="I59" s="105" t="str">
        <f t="shared" si="2"/>
        <v>Mantenimiento del control</v>
      </c>
      <c r="J59" s="45">
        <f t="shared" si="8"/>
        <v>120</v>
      </c>
      <c r="K59" s="47">
        <v>0.85123456789100005</v>
      </c>
      <c r="L59" s="45">
        <f t="shared" si="3"/>
        <v>120.851234567891</v>
      </c>
      <c r="M59" s="14"/>
      <c r="N59" s="14"/>
      <c r="O59" s="14"/>
      <c r="P59" s="14"/>
      <c r="Q59" s="14"/>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B14:I14"/>
    <mergeCell ref="D43:D49"/>
    <mergeCell ref="B43:B49"/>
    <mergeCell ref="D50:D53"/>
    <mergeCell ref="B50:B53"/>
    <mergeCell ref="D16:D27"/>
    <mergeCell ref="B16:B27"/>
    <mergeCell ref="B28:B31"/>
    <mergeCell ref="D28:D31"/>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A58" zoomScale="80" zoomScaleNormal="80" workbookViewId="0">
      <selection activeCell="G62" sqref="G62"/>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96" t="s">
        <v>112</v>
      </c>
      <c r="D7" s="297"/>
      <c r="E7" s="297"/>
      <c r="F7" s="297"/>
      <c r="G7" s="297"/>
      <c r="H7" s="297"/>
      <c r="I7" s="297"/>
      <c r="J7" s="297"/>
      <c r="K7" s="298"/>
    </row>
    <row r="8" spans="1:11" s="1" customFormat="1" ht="15.75" thickBot="1" x14ac:dyDescent="0.3">
      <c r="C8" s="5"/>
      <c r="D8" s="5"/>
      <c r="E8" s="6"/>
      <c r="F8" s="6"/>
      <c r="G8" s="6"/>
      <c r="H8" s="6"/>
      <c r="I8" s="16"/>
      <c r="J8" s="6"/>
      <c r="K8" s="6"/>
    </row>
    <row r="9" spans="1:11" ht="21" thickBot="1" x14ac:dyDescent="0.3">
      <c r="A9" s="1"/>
      <c r="B9" s="1"/>
      <c r="C9" s="199" t="s">
        <v>15</v>
      </c>
      <c r="D9" s="200"/>
      <c r="E9" s="200" t="s">
        <v>16</v>
      </c>
      <c r="F9" s="211"/>
      <c r="G9" s="6"/>
      <c r="H9" s="6"/>
      <c r="I9" s="16"/>
      <c r="J9" s="6"/>
      <c r="K9" s="6"/>
    </row>
    <row r="10" spans="1:11" ht="54" customHeight="1" x14ac:dyDescent="0.25">
      <c r="A10" s="1"/>
      <c r="B10" s="1"/>
      <c r="C10" s="212" t="s">
        <v>17</v>
      </c>
      <c r="D10" s="213"/>
      <c r="E10" s="214" t="s">
        <v>18</v>
      </c>
      <c r="F10" s="215"/>
      <c r="G10" s="7"/>
      <c r="H10" s="8">
        <v>1</v>
      </c>
      <c r="I10" s="16"/>
      <c r="J10" s="6"/>
      <c r="K10" s="6"/>
    </row>
    <row r="11" spans="1:11" ht="46.5" customHeight="1" x14ac:dyDescent="0.25">
      <c r="A11" s="1"/>
      <c r="B11" s="1"/>
      <c r="C11" s="201" t="s">
        <v>19</v>
      </c>
      <c r="D11" s="202"/>
      <c r="E11" s="203" t="s">
        <v>113</v>
      </c>
      <c r="F11" s="204"/>
      <c r="G11" s="9" t="s">
        <v>114</v>
      </c>
      <c r="H11" s="8">
        <v>0.75</v>
      </c>
      <c r="I11" s="16"/>
      <c r="J11" s="6"/>
      <c r="K11" s="6"/>
    </row>
    <row r="12" spans="1:11" ht="70.5" customHeight="1" thickBot="1" x14ac:dyDescent="0.3">
      <c r="A12" s="1"/>
      <c r="B12" s="1"/>
      <c r="C12" s="205" t="s">
        <v>21</v>
      </c>
      <c r="D12" s="206"/>
      <c r="E12" s="207" t="s">
        <v>115</v>
      </c>
      <c r="F12" s="208"/>
      <c r="G12" s="10"/>
      <c r="H12" s="8">
        <v>0.25</v>
      </c>
      <c r="I12" s="16"/>
      <c r="J12" s="6"/>
      <c r="K12" s="6"/>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88" t="s">
        <v>116</v>
      </c>
      <c r="D17" s="290" t="s">
        <v>117</v>
      </c>
      <c r="E17" s="291"/>
      <c r="F17" s="292" t="s">
        <v>118</v>
      </c>
      <c r="G17" s="294" t="s">
        <v>119</v>
      </c>
      <c r="H17" s="4"/>
      <c r="I17" s="283" t="s">
        <v>120</v>
      </c>
      <c r="J17" s="283" t="s">
        <v>121</v>
      </c>
    </row>
    <row r="18" spans="1:10" ht="36" customHeight="1" thickBot="1" x14ac:dyDescent="0.3">
      <c r="A18" s="1"/>
      <c r="B18" s="1"/>
      <c r="C18" s="289"/>
      <c r="D18" s="53" t="s">
        <v>122</v>
      </c>
      <c r="E18" s="54" t="s">
        <v>27</v>
      </c>
      <c r="F18" s="293"/>
      <c r="G18" s="295"/>
      <c r="H18" s="4"/>
      <c r="I18" s="284"/>
      <c r="J18" s="284"/>
    </row>
    <row r="19" spans="1:10" ht="65.25" customHeight="1" x14ac:dyDescent="0.25">
      <c r="A19" s="1"/>
      <c r="B19" s="1"/>
      <c r="C19" s="72">
        <v>1</v>
      </c>
      <c r="D19" s="285" t="s">
        <v>32</v>
      </c>
      <c r="E19" s="55" t="str">
        <f>+IFERROR(INDEX(Hoja1!$E$2:$E$45,MATCH('Análisis Resultados'!C19,Hoja1!$H$2:$H$45,0)),"")</f>
        <v>Procesos de desvinculación de servidores de acuerdo con lo previsto en la Constitución Política y las leyes</v>
      </c>
      <c r="F19" s="56" t="str">
        <f>+IFERROR(VLOOKUP(C19,Hoja1!$H$2:$I$45,2,0),"")</f>
        <v>En proceso</v>
      </c>
      <c r="G19" s="57"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19" s="3"/>
      <c r="I19" s="73">
        <f>+IF(F19="Si",1,IF(F19="En proceso",0.5,0))</f>
        <v>0.5</v>
      </c>
      <c r="J19" s="267">
        <f>+AVERAGE(I19:I30)</f>
        <v>0.95833333333333337</v>
      </c>
    </row>
    <row r="20" spans="1:10" ht="45" x14ac:dyDescent="0.25">
      <c r="A20" s="1"/>
      <c r="B20" s="1"/>
      <c r="C20" s="72">
        <v>2</v>
      </c>
      <c r="D20" s="286"/>
      <c r="E20" s="58" t="str">
        <f>+IFERROR(INDEX(Hoja1!$E$2:$E$45,MATCH('Análisis Resultados'!C20,Hoja1!$H$2:$H$45,0)),"")</f>
        <v>Documento interno o adopción del MECI actualizado</v>
      </c>
      <c r="F20" s="59" t="str">
        <f>+IFERROR(VLOOKUP(C20,Hoja1!$H$2:$I$45,2,0),"")</f>
        <v>Si</v>
      </c>
      <c r="G20" s="60"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0" s="3"/>
      <c r="I20" s="74">
        <f t="shared" ref="I20:I62" si="1">+IF(F20="Si",1,IF(F20="En proceso",0.5,0))</f>
        <v>1</v>
      </c>
      <c r="J20" s="268"/>
    </row>
    <row r="21" spans="1:10" ht="57" x14ac:dyDescent="0.25">
      <c r="A21" s="1"/>
      <c r="B21" s="1"/>
      <c r="C21" s="72">
        <v>3</v>
      </c>
      <c r="D21" s="286"/>
      <c r="E21" s="58" t="str">
        <f>+IFERROR(INDEX(Hoja1!$E$2:$E$45,MATCH('Análisis Resultados'!C21,Hoja1!$H$2:$H$45,0)),"")</f>
        <v>Un documento tal como un código de ética, integridad u otro que formalice los estándares de conducta, los principios institucionales o los valores del servicio público</v>
      </c>
      <c r="F21" s="59" t="str">
        <f>+IFERROR(VLOOKUP(C21,Hoja1!$H$2:$I$45,2,0),"")</f>
        <v>Si</v>
      </c>
      <c r="G21" s="60" t="str">
        <f t="shared" si="0"/>
        <v>Existe requerimiento pero se requiere actividades  dirigidas a su mantenimiento dentro del marco de las lineas de defensa.</v>
      </c>
      <c r="H21" s="3"/>
      <c r="I21" s="74">
        <f t="shared" si="1"/>
        <v>1</v>
      </c>
      <c r="J21" s="268"/>
    </row>
    <row r="22" spans="1:10" ht="56.25" customHeight="1" x14ac:dyDescent="0.25">
      <c r="A22" s="1"/>
      <c r="B22" s="1"/>
      <c r="C22" s="72">
        <v>4</v>
      </c>
      <c r="D22" s="286"/>
      <c r="E22" s="58" t="str">
        <f>+IFERROR(INDEX(Hoja1!$E$2:$E$45,MATCH('Análisis Resultados'!C22,Hoja1!$H$2:$H$45,0)),"")</f>
        <v>Planes, programas y proyectos de acuerdo con las normas que rigen y atendiendo con su propósito fundamental institucional (misión)</v>
      </c>
      <c r="F22" s="59" t="str">
        <f>+IFERROR(VLOOKUP(C22,Hoja1!$H$2:$I$45,2,0),"")</f>
        <v>Si</v>
      </c>
      <c r="G22" s="60" t="str">
        <f t="shared" si="0"/>
        <v>Existe requerimiento pero se requiere actividades  dirigidas a su mantenimiento dentro del marco de las lineas de defensa.</v>
      </c>
      <c r="H22" s="3"/>
      <c r="I22" s="74">
        <f t="shared" si="1"/>
        <v>1</v>
      </c>
      <c r="J22" s="268"/>
    </row>
    <row r="23" spans="1:10" ht="45" x14ac:dyDescent="0.25">
      <c r="A23" s="1"/>
      <c r="B23" s="1"/>
      <c r="C23" s="72">
        <v>5</v>
      </c>
      <c r="D23" s="286"/>
      <c r="E23" s="58" t="str">
        <f>+IFERROR(INDEX(Hoja1!$E$2:$E$45,MATCH('Análisis Resultados'!C23,Hoja1!$H$2:$H$45,0)),"")</f>
        <v>Una estructura organizacional formalizada (organigrama)</v>
      </c>
      <c r="F23" s="59" t="str">
        <f>+IFERROR(VLOOKUP(C23,Hoja1!$H$2:$I$45,2,0),"")</f>
        <v>Si</v>
      </c>
      <c r="G23" s="60" t="str">
        <f t="shared" si="0"/>
        <v>Existe requerimiento pero se requiere actividades  dirigidas a su mantenimiento dentro del marco de las lineas de defensa.</v>
      </c>
      <c r="H23" s="3"/>
      <c r="I23" s="74">
        <f t="shared" si="1"/>
        <v>1</v>
      </c>
      <c r="J23" s="268"/>
    </row>
    <row r="24" spans="1:10" ht="45" x14ac:dyDescent="0.25">
      <c r="A24" s="1"/>
      <c r="B24" s="1"/>
      <c r="C24" s="72">
        <v>6</v>
      </c>
      <c r="D24" s="286"/>
      <c r="E24" s="58" t="str">
        <f>+IFERROR(INDEX(Hoja1!$E$2:$E$45,MATCH('Análisis Resultados'!C24,Hoja1!$H$2:$H$45,0)),"")</f>
        <v>Un manual de funciones que describa los empleos de la entidad</v>
      </c>
      <c r="F24" s="59" t="str">
        <f>+IFERROR(VLOOKUP(C24,Hoja1!$H$2:$I$45,2,0),"")</f>
        <v>Si</v>
      </c>
      <c r="G24" s="60" t="str">
        <f t="shared" si="0"/>
        <v>Existe requerimiento pero se requiere actividades  dirigidas a su mantenimiento dentro del marco de las lineas de defensa.</v>
      </c>
      <c r="H24" s="3"/>
      <c r="I24" s="74">
        <f t="shared" si="1"/>
        <v>1</v>
      </c>
      <c r="J24" s="268"/>
    </row>
    <row r="25" spans="1:10" ht="45" x14ac:dyDescent="0.25">
      <c r="A25" s="1"/>
      <c r="B25" s="1"/>
      <c r="C25" s="72">
        <v>7</v>
      </c>
      <c r="D25" s="286"/>
      <c r="E25" s="58" t="str">
        <f>+IFERROR(INDEX(Hoja1!$E$2:$E$45,MATCH('Análisis Resultados'!C25,Hoja1!$H$2:$H$45,0)),"")</f>
        <v>La documentación de sus procesos y procedimientos o bien una lista de actividades principales que permitan conocer el estado de su gestión</v>
      </c>
      <c r="F25" s="59" t="str">
        <f>+IFERROR(VLOOKUP(C25,Hoja1!$H$2:$I$45,2,0),"")</f>
        <v>Si</v>
      </c>
      <c r="G25" s="60" t="str">
        <f t="shared" si="0"/>
        <v>Existe requerimiento pero se requiere actividades  dirigidas a su mantenimiento dentro del marco de las lineas de defensa.</v>
      </c>
      <c r="H25" s="3"/>
      <c r="I25" s="74">
        <f t="shared" si="1"/>
        <v>1</v>
      </c>
      <c r="J25" s="268"/>
    </row>
    <row r="26" spans="1:10" ht="45" x14ac:dyDescent="0.25">
      <c r="A26" s="1"/>
      <c r="B26" s="1"/>
      <c r="C26" s="72">
        <v>8</v>
      </c>
      <c r="D26" s="286"/>
      <c r="E26" s="58" t="str">
        <f>+IFERROR(INDEX(Hoja1!$E$2:$E$45,MATCH('Análisis Resultados'!C26,Hoja1!$H$2:$H$45,0)),"")</f>
        <v>Vinculación de los servidores públicos de acuerdo con el marco normativo que les rige (carrera administrativa, libre nombramiento y remoción, entre otros)</v>
      </c>
      <c r="F26" s="59" t="str">
        <f>+IFERROR(VLOOKUP(C26,Hoja1!$H$2:$I$45,2,0),"")</f>
        <v>Si</v>
      </c>
      <c r="G26" s="60" t="str">
        <f t="shared" si="0"/>
        <v>Existe requerimiento pero se requiere actividades  dirigidas a su mantenimiento dentro del marco de las lineas de defensa.</v>
      </c>
      <c r="H26" s="3"/>
      <c r="I26" s="74">
        <f t="shared" si="1"/>
        <v>1</v>
      </c>
      <c r="J26" s="268"/>
    </row>
    <row r="27" spans="1:10" ht="45" x14ac:dyDescent="0.25">
      <c r="A27" s="1"/>
      <c r="B27" s="1"/>
      <c r="C27" s="72">
        <v>9</v>
      </c>
      <c r="D27" s="286"/>
      <c r="E27" s="58" t="str">
        <f>+IFERROR(INDEX(Hoja1!$E$2:$E$45,MATCH('Análisis Resultados'!C27,Hoja1!$H$2:$H$45,0)),"")</f>
        <v>Procesos de inducción, capacitación y bienestar social para sus servidores públicos, de manera directa o en asociación con otras entidades municipales</v>
      </c>
      <c r="F27" s="59" t="str">
        <f>+IFERROR(VLOOKUP(C27,Hoja1!$H$2:$I$45,2,0),"")</f>
        <v>Si</v>
      </c>
      <c r="G27" s="60" t="str">
        <f t="shared" si="0"/>
        <v>Existe requerimiento pero se requiere actividades  dirigidas a su mantenimiento dentro del marco de las lineas de defensa.</v>
      </c>
      <c r="H27" s="3"/>
      <c r="I27" s="74">
        <f t="shared" si="1"/>
        <v>1</v>
      </c>
      <c r="J27" s="268"/>
    </row>
    <row r="28" spans="1:10" ht="45" x14ac:dyDescent="0.25">
      <c r="A28" s="1"/>
      <c r="B28" s="1"/>
      <c r="C28" s="72">
        <v>10</v>
      </c>
      <c r="D28" s="286"/>
      <c r="E28" s="58" t="str">
        <f>+IFERROR(INDEX(Hoja1!$E$2:$E$45,MATCH('Análisis Resultados'!C28,Hoja1!$H$2:$H$45,0)),"")</f>
        <v>Evaluación a los servidores públicos de acuerdo con el marco normativo que le rige</v>
      </c>
      <c r="F28" s="59" t="str">
        <f>+IFERROR(VLOOKUP(C28,Hoja1!$H$2:$I$45,2,0),"")</f>
        <v>Si</v>
      </c>
      <c r="G28" s="60" t="str">
        <f t="shared" si="0"/>
        <v>Existe requerimiento pero se requiere actividades  dirigidas a su mantenimiento dentro del marco de las lineas de defensa.</v>
      </c>
      <c r="H28" s="3"/>
      <c r="I28" s="74">
        <f t="shared" si="1"/>
        <v>1</v>
      </c>
      <c r="J28" s="268"/>
    </row>
    <row r="29" spans="1:10" ht="45" x14ac:dyDescent="0.25">
      <c r="A29" s="1"/>
      <c r="B29" s="1"/>
      <c r="C29" s="72">
        <v>11</v>
      </c>
      <c r="D29" s="286"/>
      <c r="E29" s="58" t="str">
        <f>+IFERROR(INDEX(Hoja1!$E$2:$E$45,MATCH('Análisis Resultados'!C29,Hoja1!$H$2:$H$45,0)),"")</f>
        <v>Mecanismos de rendición de cuentas a la ciudadanía</v>
      </c>
      <c r="F29" s="59" t="str">
        <f>+IFERROR(VLOOKUP(C29,Hoja1!$H$2:$I$45,2,0),"")</f>
        <v>Si</v>
      </c>
      <c r="G29" s="60"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3"/>
      <c r="I29" s="74">
        <f t="shared" si="1"/>
        <v>1</v>
      </c>
      <c r="J29" s="268"/>
    </row>
    <row r="30" spans="1:10" ht="45.75" thickBot="1" x14ac:dyDescent="0.3">
      <c r="A30" s="1"/>
      <c r="B30" s="1"/>
      <c r="C30" s="72">
        <v>12</v>
      </c>
      <c r="D30" s="287"/>
      <c r="E30" s="61" t="str">
        <f>+IFERROR(INDEX(Hoja1!$E$2:$E$45,MATCH('Análisis Resultados'!C30,Hoja1!$H$2:$H$45,0)),"")</f>
        <v>Presentación oportuna de sus informes de gestión a las autoridades competentes</v>
      </c>
      <c r="F30" s="62" t="str">
        <f>+IFERROR(VLOOKUP(C30,Hoja1!$H$2:$I$45,2,0),"")</f>
        <v>Si</v>
      </c>
      <c r="G30" s="63" t="str">
        <f t="shared" si="0"/>
        <v>Existe requerimiento pero se requiere actividades  dirigidas a su mantenimiento dentro del marco de las lineas de defensa.</v>
      </c>
      <c r="H30" s="3"/>
      <c r="I30" s="75">
        <f t="shared" si="1"/>
        <v>1</v>
      </c>
      <c r="J30" s="269"/>
    </row>
    <row r="31" spans="1:10" ht="45" customHeight="1" x14ac:dyDescent="0.25">
      <c r="A31" s="1"/>
      <c r="B31" s="1"/>
      <c r="C31" s="72">
        <v>13</v>
      </c>
      <c r="D31" s="281" t="s">
        <v>60</v>
      </c>
      <c r="E31" s="55" t="str">
        <f>+IFERROR(INDEX(Hoja1!$E$2:$E$45,MATCH('Análisis Resultados'!C31,Hoja1!$H$2:$H$45,0)),"")</f>
        <v>La identificación de cambios en su entorno que pueden generar consecuencias negativas en su gestión</v>
      </c>
      <c r="F31" s="56" t="str">
        <f>+IFERROR(VLOOKUP(C31,Hoja1!$H$2:$I$45,2,0),"")</f>
        <v>En proceso</v>
      </c>
      <c r="G31" s="57" t="str">
        <f t="shared" si="0"/>
        <v>Se encuentra en proceso, pero requiere continuar con acciones dirigidas a contar con dicho aspecto de control.</v>
      </c>
      <c r="H31" s="3"/>
      <c r="I31" s="73">
        <f t="shared" si="1"/>
        <v>0.5</v>
      </c>
      <c r="J31" s="265">
        <f>+AVERAGE(I31:I40)</f>
        <v>0.7</v>
      </c>
    </row>
    <row r="32" spans="1:10" ht="57" customHeight="1" x14ac:dyDescent="0.25">
      <c r="A32" s="1"/>
      <c r="B32" s="1"/>
      <c r="C32" s="72">
        <v>14</v>
      </c>
      <c r="D32" s="282"/>
      <c r="E32" s="58" t="str">
        <f>+IFERROR(INDEX(Hoja1!$E$2:$E$45,MATCH('Análisis Resultados'!C32,Hoja1!$H$2:$H$45,0)),"")</f>
        <v>Si su capacidad e infraestructura lo permite, identificación de riesgos asociados a las tecnologías de la información y las comunicaciones</v>
      </c>
      <c r="F32" s="59" t="str">
        <f>+IFERROR(VLOOKUP(C32,Hoja1!$H$2:$I$45,2,0),"")</f>
        <v>En proceso</v>
      </c>
      <c r="G32" s="60" t="str">
        <f t="shared" si="0"/>
        <v>Se encuentra en proceso, pero requiere continuar con acciones dirigidas a contar con dicho aspecto de control.</v>
      </c>
      <c r="H32" s="3"/>
      <c r="I32" s="74">
        <f t="shared" si="1"/>
        <v>0.5</v>
      </c>
      <c r="J32" s="266"/>
    </row>
    <row r="33" spans="1:10" ht="54" customHeight="1" x14ac:dyDescent="0.25">
      <c r="A33" s="1"/>
      <c r="B33" s="1"/>
      <c r="C33" s="72">
        <v>15</v>
      </c>
      <c r="D33" s="282"/>
      <c r="E33" s="58" t="str">
        <f>+IFERROR(INDEX(Hoja1!$E$2:$E$45,MATCH('Análisis Resultados'!C33,Hoja1!$H$2:$H$45,0)),"")</f>
        <v>Hacen seguimiento a los problemas (riesgos)  que pueden afectar el cumplimiento de sus procesos, programas o proyectos a cargo</v>
      </c>
      <c r="F33" s="59" t="str">
        <f>+IFERROR(VLOOKUP(C33,Hoja1!$H$2:$I$45,2,0),"")</f>
        <v>En proceso</v>
      </c>
      <c r="G33" s="60" t="str">
        <f t="shared" si="0"/>
        <v>Se encuentra en proceso, pero requiere continuar con acciones dirigidas a contar con dicho aspecto de control.</v>
      </c>
      <c r="H33" s="3"/>
      <c r="I33" s="74">
        <f t="shared" si="1"/>
        <v>0.5</v>
      </c>
      <c r="J33" s="266"/>
    </row>
    <row r="34" spans="1:10" ht="42.75" x14ac:dyDescent="0.25">
      <c r="A34" s="1"/>
      <c r="B34" s="1"/>
      <c r="C34" s="72">
        <v>16</v>
      </c>
      <c r="D34" s="282"/>
      <c r="E34" s="58" t="str">
        <f>+IFERROR(INDEX(Hoja1!$E$2:$E$45,MATCH('Análisis Resultados'!C34,Hoja1!$H$2:$H$45,0)),"")</f>
        <v>Informan de manera periódica a quien corresponda sobre el desempeño de las actividades de gestión de riesgos</v>
      </c>
      <c r="F34" s="59" t="str">
        <f>+IFERROR(VLOOKUP(C34,Hoja1!$H$2:$I$45,2,0),"")</f>
        <v>En proceso</v>
      </c>
      <c r="G34" s="60" t="str">
        <f t="shared" si="0"/>
        <v>Se encuentra en proceso, pero requiere continuar con acciones dirigidas a contar con dicho aspecto de control.</v>
      </c>
      <c r="H34" s="3"/>
      <c r="I34" s="74">
        <f t="shared" si="1"/>
        <v>0.5</v>
      </c>
      <c r="J34" s="266"/>
    </row>
    <row r="35" spans="1:10" ht="67.5" customHeight="1" x14ac:dyDescent="0.25">
      <c r="A35" s="1"/>
      <c r="B35" s="1"/>
      <c r="C35" s="72">
        <v>17</v>
      </c>
      <c r="D35" s="282"/>
      <c r="E35" s="58" t="str">
        <f>+IFERROR(INDEX(Hoja1!$E$2:$E$45,MATCH('Análisis Resultados'!C35,Hoja1!$H$2:$H$45,0)),"")</f>
        <v>Identifican deficiencias en las maneras de  controlar los riesgos o problemas en sus procesos, programas o proyectos, y propone los ajustes necesarios</v>
      </c>
      <c r="F35" s="59" t="str">
        <f>+IFERROR(VLOOKUP(C35,Hoja1!$H$2:$I$45,2,0),"")</f>
        <v>En proceso</v>
      </c>
      <c r="G35" s="60" t="str">
        <f t="shared" si="0"/>
        <v>Se encuentra en proceso, pero requiere continuar con acciones dirigidas a contar con dicho aspecto de control.</v>
      </c>
      <c r="H35" s="3"/>
      <c r="I35" s="74">
        <f t="shared" si="1"/>
        <v>0.5</v>
      </c>
      <c r="J35" s="266"/>
    </row>
    <row r="36" spans="1:10" ht="33.75" x14ac:dyDescent="0.25">
      <c r="A36" s="1"/>
      <c r="B36" s="1"/>
      <c r="C36" s="72">
        <v>18</v>
      </c>
      <c r="D36" s="282"/>
      <c r="E36" s="58" t="str">
        <f>+IFERROR(INDEX(Hoja1!$E$2:$E$45,MATCH('Análisis Resultados'!C36,Hoja1!$H$2:$H$45,0)),"")</f>
        <v>Solamente hasta que un organismo de control actúa se definen acciones de mejora.</v>
      </c>
      <c r="F36" s="59" t="str">
        <f>+IFERROR(VLOOKUP(C36,Hoja1!$H$2:$I$45,2,0),"")</f>
        <v>En proceso</v>
      </c>
      <c r="G36" s="60" t="str">
        <f t="shared" si="0"/>
        <v>Se encuentra en proceso, pero requiere continuar con acciones dirigidas a contar con dicho aspecto de control.</v>
      </c>
      <c r="H36" s="3"/>
      <c r="I36" s="74">
        <f t="shared" si="1"/>
        <v>0.5</v>
      </c>
      <c r="J36" s="266"/>
    </row>
    <row r="37" spans="1:10" ht="57" customHeight="1" x14ac:dyDescent="0.25">
      <c r="A37" s="1"/>
      <c r="B37" s="1"/>
      <c r="C37" s="72">
        <v>19</v>
      </c>
      <c r="D37" s="282"/>
      <c r="E37" s="58" t="str">
        <f>+IFERROR(INDEX(Hoja1!$E$2:$E$45,MATCH('Análisis Resultados'!C37,Hoja1!$H$2:$H$45,0)),"")</f>
        <v>La identificación de aquellos problemas o aspectos que pueden afectar el cumplimiento de los planes de la entidad y en general su gestión institucional (riesgos)</v>
      </c>
      <c r="F37" s="59" t="str">
        <f>+IFERROR(VLOOKUP(C37,Hoja1!$H$2:$I$45,2,0),"")</f>
        <v>Si</v>
      </c>
      <c r="G37" s="60" t="str">
        <f t="shared" si="0"/>
        <v>Existe requerimiento pero se requiere actividades  dirigidas a su mantenimiento dentro del marco de las lineas de defensa.</v>
      </c>
      <c r="H37" s="3"/>
      <c r="I37" s="74">
        <f t="shared" si="1"/>
        <v>1</v>
      </c>
      <c r="J37" s="266"/>
    </row>
    <row r="38" spans="1:10" ht="45" x14ac:dyDescent="0.25">
      <c r="A38" s="1"/>
      <c r="B38" s="1"/>
      <c r="C38" s="72">
        <v>20</v>
      </c>
      <c r="D38" s="282"/>
      <c r="E38" s="58" t="str">
        <f>+IFERROR(INDEX(Hoja1!$E$2:$E$45,MATCH('Análisis Resultados'!C38,Hoja1!$H$2:$H$45,0)),"")</f>
        <v>La identificación  de los riesgos relacionados con posibles actos de corrupción en el ejercicio de sus funciones</v>
      </c>
      <c r="F38" s="59" t="str">
        <f>+IFERROR(VLOOKUP(C38,Hoja1!$H$2:$I$45,2,0),"")</f>
        <v>Si</v>
      </c>
      <c r="G38" s="60" t="str">
        <f t="shared" si="0"/>
        <v>Existe requerimiento pero se requiere actividades  dirigidas a su mantenimiento dentro del marco de las lineas de defensa.</v>
      </c>
      <c r="H38" s="3"/>
      <c r="I38" s="74">
        <f t="shared" si="1"/>
        <v>1</v>
      </c>
      <c r="J38" s="266"/>
    </row>
    <row r="39" spans="1:10" ht="45" x14ac:dyDescent="0.25">
      <c r="A39" s="1"/>
      <c r="B39" s="1"/>
      <c r="C39" s="72">
        <v>21</v>
      </c>
      <c r="D39" s="282"/>
      <c r="E39" s="58" t="str">
        <f>+IFERROR(INDEX(Hoja1!$E$2:$E$45,MATCH('Análisis Resultados'!C39,Hoja1!$H$2:$H$45,0)),"")</f>
        <v>Se definen espacios de reunión para conocerlos y proponer acciones para su solución</v>
      </c>
      <c r="F39" s="59" t="str">
        <f>+IFERROR(VLOOKUP(C39,Hoja1!$H$2:$I$45,2,0),"")</f>
        <v>Si</v>
      </c>
      <c r="G39" s="60" t="str">
        <f t="shared" si="0"/>
        <v>Existe requerimiento pero se requiere actividades  dirigidas a su mantenimiento dentro del marco de las lineas de defensa.</v>
      </c>
      <c r="H39" s="3"/>
      <c r="I39" s="74">
        <f t="shared" si="1"/>
        <v>1</v>
      </c>
      <c r="J39" s="266"/>
    </row>
    <row r="40" spans="1:10" ht="45.75" thickBot="1" x14ac:dyDescent="0.3">
      <c r="A40" s="1"/>
      <c r="B40" s="1"/>
      <c r="C40" s="72">
        <v>22</v>
      </c>
      <c r="D40" s="282"/>
      <c r="E40" s="64" t="str">
        <f>+IFERROR(INDEX(Hoja1!$E$2:$E$45,MATCH('Análisis Resultados'!C40,Hoja1!$H$2:$H$45,0)),"")</f>
        <v>Cada líder del equipo autónomamente toma las acciones para solucionarlos.</v>
      </c>
      <c r="F40" s="65" t="str">
        <f>+IFERROR(VLOOKUP(C40,Hoja1!$H$2:$I$45,2,0),"")</f>
        <v>Si</v>
      </c>
      <c r="G40" s="66" t="str">
        <f t="shared" si="0"/>
        <v>Existe requerimiento pero se requiere actividades  dirigidas a su mantenimiento dentro del marco de las lineas de defensa.</v>
      </c>
      <c r="H40" s="3"/>
      <c r="I40" s="76">
        <f t="shared" si="1"/>
        <v>1</v>
      </c>
      <c r="J40" s="266"/>
    </row>
    <row r="41" spans="1:10" ht="87.75" customHeight="1" x14ac:dyDescent="0.25">
      <c r="A41" s="1"/>
      <c r="B41" s="1"/>
      <c r="C41" s="72">
        <v>23</v>
      </c>
      <c r="D41" s="277" t="s">
        <v>78</v>
      </c>
      <c r="E41" s="55" t="str">
        <f>+IFERROR(INDEX(Hoja1!$E$2:$E$45,MATCH('Análisis Resultados'!C41,Hoja1!$H$2:$H$45,0)),"")</f>
        <v>La definición de acciones o actividades para para dar tratamiento a los problemas identificados (mitigación de riesgos), incluyendo aquellos asociados a posibles actos de corrupción</v>
      </c>
      <c r="F41" s="56" t="str">
        <f>+IFERROR(VLOOKUP(C41,Hoja1!$H$2:$I$45,2,0),"")</f>
        <v>En proceso</v>
      </c>
      <c r="G41" s="57" t="str">
        <f t="shared" si="0"/>
        <v>Se encuentra en proceso, pero requiere continuar con acciones dirigidas a contar con dicho aspecto de control.</v>
      </c>
      <c r="H41" s="3"/>
      <c r="I41" s="73">
        <f t="shared" si="1"/>
        <v>0.5</v>
      </c>
      <c r="J41" s="265">
        <f>+AVERAGE(I41:I45)</f>
        <v>0.6</v>
      </c>
    </row>
    <row r="42" spans="1:10" ht="57" x14ac:dyDescent="0.25">
      <c r="A42" s="1"/>
      <c r="B42" s="1"/>
      <c r="C42" s="72">
        <v>24</v>
      </c>
      <c r="D42" s="278"/>
      <c r="E42" s="58" t="str">
        <f>+IFERROR(INDEX(Hoja1!$E$2:$E$45,MATCH('Análisis Resultados'!C42,Hoja1!$H$2:$H$45,0)),"")</f>
        <v>Mecanismos de verificación de si se están o no mitigando los riesgos, o en su defecto, elaboración de planes de contingencia para subsanar sus consecuencias</v>
      </c>
      <c r="F42" s="59" t="str">
        <f>+IFERROR(VLOOKUP(C42,Hoja1!$H$2:$I$45,2,0),"")</f>
        <v>En proceso</v>
      </c>
      <c r="G42" s="60" t="str">
        <f t="shared" si="0"/>
        <v>Se encuentra en proceso, pero requiere continuar con acciones dirigidas a contar con dicho aspecto de control.</v>
      </c>
      <c r="H42" s="3"/>
      <c r="I42" s="74">
        <f t="shared" si="1"/>
        <v>0.5</v>
      </c>
      <c r="J42" s="266"/>
    </row>
    <row r="43" spans="1:10" ht="85.5" customHeight="1" x14ac:dyDescent="0.25">
      <c r="A43" s="1"/>
      <c r="B43" s="1"/>
      <c r="C43" s="72">
        <v>25</v>
      </c>
      <c r="D43" s="278"/>
      <c r="E43" s="58" t="str">
        <f>+IFERROR(INDEX(Hoja1!$E$2:$E$45,MATCH('Análisis Resultados'!C43,Hoja1!$H$2:$H$45,0)),"")</f>
        <v>Planes, acciones o estrategias que permitan subsanar las consecuencias de la materialización de los riesgos, cuando se presentan</v>
      </c>
      <c r="F43" s="59" t="str">
        <f>+IFERROR(VLOOKUP(C43,Hoja1!$H$2:$I$45,2,0),"")</f>
        <v>En proceso</v>
      </c>
      <c r="G43" s="60" t="str">
        <f t="shared" si="0"/>
        <v>Se encuentra en proceso, pero requiere continuar con acciones dirigidas a contar con dicho aspecto de control.</v>
      </c>
      <c r="H43" s="3"/>
      <c r="I43" s="74">
        <f t="shared" si="1"/>
        <v>0.5</v>
      </c>
      <c r="J43" s="266"/>
    </row>
    <row r="44" spans="1:10" ht="57" customHeight="1" x14ac:dyDescent="0.25">
      <c r="A44" s="1"/>
      <c r="B44" s="1"/>
      <c r="C44" s="72">
        <v>26</v>
      </c>
      <c r="D44" s="278"/>
      <c r="E44" s="58"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59" t="str">
        <f>+IFERROR(VLOOKUP(C44,Hoja1!$H$2:$I$45,2,0),"")</f>
        <v>En proceso</v>
      </c>
      <c r="G44" s="60" t="str">
        <f t="shared" si="0"/>
        <v>Se encuentra en proceso, pero requiere continuar con acciones dirigidas a contar con dicho aspecto de control.</v>
      </c>
      <c r="H44" s="3"/>
      <c r="I44" s="74">
        <f t="shared" si="1"/>
        <v>0.5</v>
      </c>
      <c r="J44" s="266"/>
    </row>
    <row r="45" spans="1:10" ht="57" customHeight="1" thickBot="1" x14ac:dyDescent="0.3">
      <c r="A45" s="1"/>
      <c r="B45" s="1"/>
      <c r="C45" s="72">
        <v>27</v>
      </c>
      <c r="D45" s="279"/>
      <c r="E45" s="61" t="str">
        <f>+IFERROR(INDEX(Hoja1!$E$2:$E$45,MATCH('Análisis Resultados'!C45,Hoja1!$H$2:$H$45,0)),"")</f>
        <v>Un plan anticorrupción y de servicio al ciudadano con los temas que le aplican, publicado en algún medio para conocimiento de la ciudadanía</v>
      </c>
      <c r="F45" s="62" t="str">
        <f>+IFERROR(VLOOKUP(C45,Hoja1!$H$2:$I$45,2,0),"")</f>
        <v>Si</v>
      </c>
      <c r="G45" s="63" t="str">
        <f t="shared" si="0"/>
        <v>Existe requerimiento pero se requiere actividades  dirigidas a su mantenimiento dentro del marco de las lineas de defensa.</v>
      </c>
      <c r="H45" s="3"/>
      <c r="I45" s="75">
        <f t="shared" si="1"/>
        <v>1</v>
      </c>
      <c r="J45" s="280"/>
    </row>
    <row r="46" spans="1:10" ht="63.75" customHeight="1" x14ac:dyDescent="0.25">
      <c r="A46" s="1"/>
      <c r="B46" s="1"/>
      <c r="C46" s="72">
        <v>28</v>
      </c>
      <c r="D46" s="276" t="s">
        <v>86</v>
      </c>
      <c r="E46" s="67" t="str">
        <f>+IFERROR(INDEX(Hoja1!$E$2:$E$45,MATCH('Análisis Resultados'!C46,Hoja1!$H$2:$H$45,0)),"")</f>
        <v>Responsables de la información institucional</v>
      </c>
      <c r="F46" s="68" t="str">
        <f>+IFERROR(VLOOKUP(C46,Hoja1!$H$2:$I$45,2,0),"")</f>
        <v>En proceso</v>
      </c>
      <c r="G46" s="69" t="str">
        <f t="shared" si="0"/>
        <v>Se encuentra en proceso, pero requiere continuar con acciones dirigidas a contar con dicho aspecto de control.</v>
      </c>
      <c r="H46" s="3"/>
      <c r="I46" s="77">
        <f t="shared" si="1"/>
        <v>0.5</v>
      </c>
      <c r="J46" s="266">
        <f>+AVERAGE(I46:I52)</f>
        <v>0.8571428571428571</v>
      </c>
    </row>
    <row r="47" spans="1:10" ht="92.25" customHeight="1" x14ac:dyDescent="0.25">
      <c r="A47" s="1"/>
      <c r="B47" s="1"/>
      <c r="C47" s="72">
        <v>29</v>
      </c>
      <c r="D47" s="276"/>
      <c r="E47" s="58" t="str">
        <f>+IFERROR(INDEX(Hoja1!$E$2:$E$45,MATCH('Análisis Resultados'!C47,Hoja1!$H$2:$H$45,0)),"")</f>
        <v>Si su capacidad e infraestructura lo permite, tecnologías de la información y las comunicaciones que soporten estos procesos</v>
      </c>
      <c r="F47" s="59" t="str">
        <f>+IFERROR(VLOOKUP(C47,Hoja1!$H$2:$I$45,2,0),"")</f>
        <v>En proceso</v>
      </c>
      <c r="G47" s="70" t="str">
        <f t="shared" si="0"/>
        <v>Se encuentra en proceso, pero requiere continuar con acciones dirigidas a contar con dicho aspecto de control.</v>
      </c>
      <c r="H47" s="3"/>
      <c r="I47" s="78">
        <f t="shared" si="1"/>
        <v>0.5</v>
      </c>
      <c r="J47" s="266"/>
    </row>
    <row r="48" spans="1:10" ht="66.75" customHeight="1" x14ac:dyDescent="0.25">
      <c r="A48" s="1"/>
      <c r="B48" s="1"/>
      <c r="C48" s="72">
        <v>30</v>
      </c>
      <c r="D48" s="276"/>
      <c r="E48" s="58" t="str">
        <f>+IFERROR(INDEX(Hoja1!$E$2:$E$45,MATCH('Análisis Resultados'!C48,Hoja1!$H$2:$H$45,0)),"")</f>
        <v>Canales de comunicación con los ciudadanos</v>
      </c>
      <c r="F48" s="59" t="str">
        <f>+IFERROR(VLOOKUP(C48,Hoja1!$H$2:$I$45,2,0),"")</f>
        <v>Si</v>
      </c>
      <c r="G48" s="70" t="str">
        <f t="shared" si="0"/>
        <v>Existe requerimiento pero se requiere actividades  dirigidas a su mantenimiento dentro del marco de las lineas de defensa.</v>
      </c>
      <c r="H48" s="3"/>
      <c r="I48" s="78">
        <f t="shared" si="1"/>
        <v>1</v>
      </c>
      <c r="J48" s="266"/>
    </row>
    <row r="49" spans="1:10" ht="60" customHeight="1" x14ac:dyDescent="0.25">
      <c r="A49" s="1"/>
      <c r="B49" s="1"/>
      <c r="C49" s="72">
        <v>31</v>
      </c>
      <c r="D49" s="276"/>
      <c r="E49" s="58" t="str">
        <f>+IFERROR(INDEX(Hoja1!$E$2:$E$45,MATCH('Análisis Resultados'!C49,Hoja1!$H$2:$H$45,0)),"")</f>
        <v>Canales de comunicación o mecanismos de reporte de información a otros organismos gubernamentales o de control</v>
      </c>
      <c r="F49" s="59" t="str">
        <f>+IFERROR(VLOOKUP(C49,Hoja1!$H$2:$I$45,2,0),"")</f>
        <v>Si</v>
      </c>
      <c r="G49" s="70" t="str">
        <f t="shared" si="0"/>
        <v>Existe requerimiento pero se requiere actividades  dirigidas a su mantenimiento dentro del marco de las lineas de defensa.</v>
      </c>
      <c r="H49" s="3"/>
      <c r="I49" s="78">
        <f t="shared" si="1"/>
        <v>1</v>
      </c>
      <c r="J49" s="266"/>
    </row>
    <row r="50" spans="1:10" ht="57" customHeight="1" x14ac:dyDescent="0.25">
      <c r="A50" s="1"/>
      <c r="B50" s="1"/>
      <c r="C50" s="72">
        <v>32</v>
      </c>
      <c r="D50" s="276"/>
      <c r="E50" s="58" t="str">
        <f>+IFERROR(INDEX(Hoja1!$E$2:$E$45,MATCH('Análisis Resultados'!C50,Hoja1!$H$2:$H$45,0)),"")</f>
        <v xml:space="preserve">Lineamientos para dar tratamiento a la información de carácter reservado </v>
      </c>
      <c r="F50" s="59" t="str">
        <f>+IFERROR(VLOOKUP(C50,Hoja1!$H$2:$I$45,2,0),"")</f>
        <v>Si</v>
      </c>
      <c r="G50" s="70" t="str">
        <f t="shared" si="0"/>
        <v>Existe requerimiento pero se requiere actividades  dirigidas a su mantenimiento dentro del marco de las lineas de defensa.</v>
      </c>
      <c r="H50" s="3"/>
      <c r="I50" s="78">
        <f t="shared" si="1"/>
        <v>1</v>
      </c>
      <c r="J50" s="266"/>
    </row>
    <row r="51" spans="1:10" ht="57" customHeight="1" x14ac:dyDescent="0.25">
      <c r="A51" s="1"/>
      <c r="B51" s="1"/>
      <c r="C51" s="72">
        <v>33</v>
      </c>
      <c r="D51" s="276"/>
      <c r="E51" s="58" t="str">
        <f>+IFERROR(INDEX(Hoja1!$E$2:$E$45,MATCH('Análisis Resultados'!C51,Hoja1!$H$2:$H$45,0)),"")</f>
        <v>Identificación de información que produce en el marco de su gestión (Para los ciudadanos, organismos de control, organismos gubernamentales, entre otros)</v>
      </c>
      <c r="F51" s="59" t="str">
        <f>+IFERROR(VLOOKUP(C51,Hoja1!$H$2:$I$45,2,0),"")</f>
        <v>Si</v>
      </c>
      <c r="G51" s="70" t="str">
        <f t="shared" si="0"/>
        <v>Existe requerimiento pero se requiere actividades  dirigidas a su mantenimiento dentro del marco de las lineas de defensa.</v>
      </c>
      <c r="H51" s="3"/>
      <c r="I51" s="78">
        <f t="shared" si="1"/>
        <v>1</v>
      </c>
      <c r="J51" s="266"/>
    </row>
    <row r="52" spans="1:10" ht="45.75" thickBot="1" x14ac:dyDescent="0.3">
      <c r="A52" s="1"/>
      <c r="B52" s="1"/>
      <c r="C52" s="72">
        <v>34</v>
      </c>
      <c r="D52" s="276"/>
      <c r="E52" s="64" t="str">
        <f>+IFERROR(INDEX(Hoja1!$E$2:$E$45,MATCH('Análisis Resultados'!C52,Hoja1!$H$2:$H$45,0)),"")</f>
        <v>Identificación de información necesaria para la operación de la entidad (normograma, presupuesto, talento humano, infraestructura física y tecnológica)</v>
      </c>
      <c r="F52" s="65" t="str">
        <f>+IFERROR(VLOOKUP(C52,Hoja1!$H$2:$I$45,2,0),"")</f>
        <v>Si</v>
      </c>
      <c r="G52" s="71" t="str">
        <f t="shared" si="0"/>
        <v>Existe requerimiento pero se requiere actividades  dirigidas a su mantenimiento dentro del marco de las lineas de defensa.</v>
      </c>
      <c r="H52" s="3"/>
      <c r="I52" s="79">
        <f t="shared" si="1"/>
        <v>1</v>
      </c>
      <c r="J52" s="266"/>
    </row>
    <row r="53" spans="1:10" ht="41.25" customHeight="1" x14ac:dyDescent="0.25">
      <c r="A53" s="1"/>
      <c r="B53" s="1"/>
      <c r="C53" s="72">
        <v>35</v>
      </c>
      <c r="D53" s="270" t="s">
        <v>96</v>
      </c>
      <c r="E53" s="55" t="str">
        <f>+IFERROR(INDEX(Hoja1!$E$2:$E$45,MATCH('Análisis Resultados'!C53,Hoja1!$H$2:$H$45,0)),"")</f>
        <v>Mecanismos de evaluación de la gestión (cronogramas, indicadores, listas de chequeo u otros)</v>
      </c>
      <c r="F53" s="56" t="str">
        <f>+IFERROR(VLOOKUP(C53,Hoja1!$H$2:$I$45,2,0),"")</f>
        <v>En proceso</v>
      </c>
      <c r="G53" s="57" t="str">
        <f t="shared" si="0"/>
        <v>Se encuentra en proceso, pero requiere continuar con acciones dirigidas a contar con dicho aspecto de control.</v>
      </c>
      <c r="H53" s="3"/>
      <c r="I53" s="73">
        <f t="shared" si="1"/>
        <v>0.5</v>
      </c>
      <c r="J53" s="273">
        <f>+AVERAGE(I53:I62)</f>
        <v>0.65</v>
      </c>
    </row>
    <row r="54" spans="1:10" ht="58.5" customHeight="1" x14ac:dyDescent="0.25">
      <c r="A54" s="1"/>
      <c r="B54" s="1"/>
      <c r="C54" s="72">
        <v>36</v>
      </c>
      <c r="D54" s="271"/>
      <c r="E54" s="58" t="str">
        <f>+IFERROR(INDEX(Hoja1!$E$2:$E$45,MATCH('Análisis Resultados'!C54,Hoja1!$H$2:$H$45,0)),"")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4" s="59" t="str">
        <f>+IFERROR(VLOOKUP(C54,Hoja1!$H$2:$I$45,2,0),"")</f>
        <v>En proceso</v>
      </c>
      <c r="G54" s="60" t="str">
        <f t="shared" si="0"/>
        <v>Se encuentra en proceso, pero requiere continuar con acciones dirigidas a contar con dicho aspecto de control.</v>
      </c>
      <c r="H54" s="3"/>
      <c r="I54" s="74">
        <f t="shared" si="1"/>
        <v>0.5</v>
      </c>
      <c r="J54" s="274"/>
    </row>
    <row r="55" spans="1:10" s="1" customFormat="1" ht="84.75" customHeight="1" x14ac:dyDescent="0.25">
      <c r="C55" s="72">
        <v>37</v>
      </c>
      <c r="D55" s="271"/>
      <c r="E55" s="58" t="str">
        <f>+IFERROR(INDEX(Hoja1!$E$2:$E$45,MATCH('Análisis Resultados'!C55,Hoja1!$H$2:$H$45,0)),"")</f>
        <v>Medidas correctivas en caso de detectarse deficiencias en los ejercicios de evaluación, seguimiento o auditoría</v>
      </c>
      <c r="F55" s="59" t="str">
        <f>+IFERROR(VLOOKUP(C55,Hoja1!$H$2:$I$45,2,0),"")</f>
        <v>En proceso</v>
      </c>
      <c r="G55" s="60" t="str">
        <f t="shared" si="0"/>
        <v>Se encuentra en proceso, pero requiere continuar con acciones dirigidas a contar con dicho aspecto de control.</v>
      </c>
      <c r="H55" s="2"/>
      <c r="I55" s="74">
        <f t="shared" si="1"/>
        <v>0.5</v>
      </c>
      <c r="J55" s="274"/>
    </row>
    <row r="56" spans="1:10" s="1" customFormat="1" ht="78.75" customHeight="1" x14ac:dyDescent="0.25">
      <c r="C56" s="72">
        <v>38</v>
      </c>
      <c r="D56" s="271"/>
      <c r="E56" s="58" t="str">
        <f>+IFERROR(INDEX(Hoja1!$E$2:$E$45,MATCH('Análisis Resultados'!C56,Hoja1!$H$2:$H$45,0)),"")</f>
        <v>Evitar que los problemas (riesgos) obstaculicen el cumplimiento de los objetivos.</v>
      </c>
      <c r="F56" s="59" t="str">
        <f>+IFERROR(VLOOKUP(C56,Hoja1!$H$2:$I$45,2,0),"")</f>
        <v>En proceso</v>
      </c>
      <c r="G56" s="60" t="str">
        <f t="shared" si="0"/>
        <v>Se encuentra en proceso, pero requiere continuar con acciones dirigidas a contar con dicho aspecto de control.</v>
      </c>
      <c r="H56" s="2"/>
      <c r="I56" s="74">
        <f t="shared" si="1"/>
        <v>0.5</v>
      </c>
      <c r="J56" s="274"/>
    </row>
    <row r="57" spans="1:10" s="1" customFormat="1" ht="54.75" customHeight="1" x14ac:dyDescent="0.25">
      <c r="C57" s="72">
        <v>39</v>
      </c>
      <c r="D57" s="271"/>
      <c r="E57" s="58" t="str">
        <f>+IFERROR(INDEX(Hoja1!$E$2:$E$45,MATCH('Análisis Resultados'!C57,Hoja1!$H$2:$H$45,0)),"")</f>
        <v>Controlar los puntos críticos en los procesos.</v>
      </c>
      <c r="F57" s="59" t="str">
        <f>+IFERROR(VLOOKUP(C57,Hoja1!$H$2:$I$45,2,0),"")</f>
        <v>En proceso</v>
      </c>
      <c r="G57" s="60" t="str">
        <f t="shared" si="0"/>
        <v>Se encuentra en proceso, pero requiere continuar con acciones dirigidas a contar con dicho aspecto de control.</v>
      </c>
      <c r="H57" s="2"/>
      <c r="I57" s="74">
        <f t="shared" si="1"/>
        <v>0.5</v>
      </c>
      <c r="J57" s="274"/>
    </row>
    <row r="58" spans="1:10" s="1" customFormat="1" ht="68.25" customHeight="1" x14ac:dyDescent="0.25">
      <c r="C58" s="72">
        <v>40</v>
      </c>
      <c r="D58" s="271"/>
      <c r="E58" s="58" t="str">
        <f>+IFERROR(INDEX(Hoja1!$E$2:$E$45,MATCH('Análisis Resultados'!C58,Hoja1!$H$2:$H$45,0)),"")</f>
        <v>Diseñar acciones adecuadas para controlar los problemas que afectan el cumplimiento de las metas y objetivos institucionales (riesgos).</v>
      </c>
      <c r="F58" s="59" t="str">
        <f>+IFERROR(VLOOKUP(C58,Hoja1!$H$2:$I$45,2,0),"")</f>
        <v>En proceso</v>
      </c>
      <c r="G58" s="60" t="str">
        <f t="shared" si="0"/>
        <v>Se encuentra en proceso, pero requiere continuar con acciones dirigidas a contar con dicho aspecto de control.</v>
      </c>
      <c r="H58" s="2"/>
      <c r="I58" s="74">
        <f t="shared" si="1"/>
        <v>0.5</v>
      </c>
      <c r="J58" s="274"/>
    </row>
    <row r="59" spans="1:10" s="1" customFormat="1" ht="45" customHeight="1" x14ac:dyDescent="0.25">
      <c r="C59" s="72">
        <v>41</v>
      </c>
      <c r="D59" s="271"/>
      <c r="E59" s="58" t="str">
        <f>+IFERROR(INDEX(Hoja1!$E$2:$E$45,MATCH('Análisis Resultados'!C59,Hoja1!$H$2:$H$45,0)),"")</f>
        <v>Ejecutar las acciones de acuerdo a como se diseñaron previamente.</v>
      </c>
      <c r="F59" s="59" t="str">
        <f>+IFERROR(VLOOKUP(C59,Hoja1!$H$2:$I$45,2,0),"")</f>
        <v>En proceso</v>
      </c>
      <c r="G59" s="60" t="str">
        <f t="shared" si="0"/>
        <v>Se encuentra en proceso, pero requiere continuar con acciones dirigidas a contar con dicho aspecto de control.</v>
      </c>
      <c r="H59" s="2"/>
      <c r="I59" s="74">
        <f t="shared" si="1"/>
        <v>0.5</v>
      </c>
      <c r="J59" s="274"/>
    </row>
    <row r="60" spans="1:10" s="1" customFormat="1" ht="51.75" customHeight="1" x14ac:dyDescent="0.25">
      <c r="C60" s="72">
        <v>42</v>
      </c>
      <c r="D60" s="271"/>
      <c r="E60" s="58" t="str">
        <f>+IFERROR(INDEX(Hoja1!$E$2:$E$45,MATCH('Análisis Resultados'!C60,Hoja1!$H$2:$H$45,0)),"")</f>
        <v>Seguimiento a los planes de mejoramiento suscritos con instancias de control internas o externas</v>
      </c>
      <c r="F60" s="59" t="str">
        <f>+IFERROR(VLOOKUP(C60,Hoja1!$H$2:$I$45,2,0),"")</f>
        <v>Si</v>
      </c>
      <c r="G60" s="60" t="str">
        <f t="shared" si="0"/>
        <v>Existe requerimiento pero se requiere actividades  dirigidas a su mantenimiento dentro del marco de las lineas de defensa.</v>
      </c>
      <c r="H60" s="2"/>
      <c r="I60" s="74">
        <f t="shared" si="1"/>
        <v>1</v>
      </c>
      <c r="J60" s="274"/>
    </row>
    <row r="61" spans="1:10" s="1" customFormat="1" ht="84" customHeight="1" x14ac:dyDescent="0.25">
      <c r="C61" s="72">
        <v>43</v>
      </c>
      <c r="D61" s="271"/>
      <c r="E61" s="58" t="str">
        <f>+IFERROR(INDEX(Hoja1!$E$2:$E$45,MATCH('Análisis Resultados'!C61,Hoja1!$H$2:$H$45,0)),"")</f>
        <v>La entidad participa en el  Comité Municipal de Auditoría?</v>
      </c>
      <c r="F61" s="59" t="str">
        <f>+IFERROR(VLOOKUP(C61,Hoja1!$H$2:$I$45,2,0),"")</f>
        <v>Si</v>
      </c>
      <c r="G61" s="60" t="str">
        <f t="shared" si="0"/>
        <v>Existe requerimiento pero se requiere actividades  dirigidas a su mantenimiento dentro del marco de las lineas de defensa.</v>
      </c>
      <c r="H61" s="2"/>
      <c r="I61" s="74">
        <f t="shared" si="1"/>
        <v>1</v>
      </c>
      <c r="J61" s="274"/>
    </row>
    <row r="62" spans="1:10" s="1" customFormat="1" ht="60" customHeight="1" thickBot="1" x14ac:dyDescent="0.3">
      <c r="C62" s="72">
        <v>44</v>
      </c>
      <c r="D62" s="272"/>
      <c r="E62" s="61" t="str">
        <f>+IFERROR(INDEX(Hoja1!$E$2:$E$45,MATCH('Análisis Resultados'!C62,Hoja1!$H$2:$H$45,0)),"")</f>
        <v>No se gestionan los problemas que afectan el cumplimiento de las funciones y objetivos institucionales(riesgos).</v>
      </c>
      <c r="F62" s="62" t="str">
        <f>+IFERROR(VLOOKUP(C62,Hoja1!$H$2:$I$45,2,0),"")</f>
        <v>Si</v>
      </c>
      <c r="G62" s="63" t="str">
        <f t="shared" si="0"/>
        <v>Existe requerimiento pero se requiere actividades  dirigidas a su mantenimiento dentro del marco de las lineas de defensa.</v>
      </c>
      <c r="H62" s="2"/>
      <c r="I62" s="75">
        <f t="shared" si="1"/>
        <v>1</v>
      </c>
      <c r="J62" s="275"/>
    </row>
    <row r="63" spans="1:10" s="1" customFormat="1" x14ac:dyDescent="0.25">
      <c r="H63" s="2"/>
    </row>
    <row r="64" spans="1:10" s="1" customFormat="1" x14ac:dyDescent="0.25">
      <c r="H64" s="2"/>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C7:K7"/>
    <mergeCell ref="C9:D9"/>
    <mergeCell ref="E9:F9"/>
    <mergeCell ref="C10:D10"/>
    <mergeCell ref="E10:F10"/>
    <mergeCell ref="C11:D11"/>
    <mergeCell ref="E11:F11"/>
    <mergeCell ref="J17:J18"/>
    <mergeCell ref="D19:D30"/>
    <mergeCell ref="C17:C18"/>
    <mergeCell ref="D17:E17"/>
    <mergeCell ref="F17:F18"/>
    <mergeCell ref="G17:G18"/>
    <mergeCell ref="I17:I18"/>
    <mergeCell ref="J31:J40"/>
    <mergeCell ref="C12:D12"/>
    <mergeCell ref="E12:F12"/>
    <mergeCell ref="J19:J30"/>
    <mergeCell ref="D53:D62"/>
    <mergeCell ref="J53:J62"/>
    <mergeCell ref="D46:D52"/>
    <mergeCell ref="J46:J52"/>
    <mergeCell ref="D41:D45"/>
    <mergeCell ref="J41:J45"/>
    <mergeCell ref="D31:D4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tabSelected="1" topLeftCell="A29" zoomScale="64" zoomScaleNormal="64" workbookViewId="0">
      <selection activeCell="C43" sqref="C43"/>
    </sheetView>
  </sheetViews>
  <sheetFormatPr baseColWidth="10" defaultColWidth="11.42578125" defaultRowHeight="15.75" x14ac:dyDescent="0.25"/>
  <cols>
    <col min="1" max="1" width="4.42578125" style="127" customWidth="1"/>
    <col min="2" max="2" width="11.42578125" style="127"/>
    <col min="3" max="3" width="35.5703125" style="127" customWidth="1"/>
    <col min="4" max="4" width="13" style="127" customWidth="1"/>
    <col min="5" max="5" width="43.28515625" style="127" customWidth="1"/>
    <col min="6" max="6" width="11.42578125" style="127"/>
    <col min="7" max="7" width="33.85546875" style="127" customWidth="1"/>
    <col min="8" max="8" width="11.42578125" style="127"/>
    <col min="9" max="9" width="92.28515625" style="127" customWidth="1"/>
    <col min="10" max="12" width="11.42578125" style="127"/>
    <col min="13" max="13" width="29" style="127" customWidth="1"/>
    <col min="14" max="16384" width="11.42578125" style="127"/>
  </cols>
  <sheetData>
    <row r="1" spans="1:17" s="126" customFormat="1" x14ac:dyDescent="0.25"/>
    <row r="2" spans="1:17" ht="16.5" thickBot="1" x14ac:dyDescent="0.3">
      <c r="A2" s="126"/>
      <c r="B2" s="126"/>
      <c r="C2" s="126"/>
      <c r="D2" s="126"/>
      <c r="E2" s="126"/>
      <c r="F2" s="126"/>
      <c r="G2" s="126"/>
      <c r="H2" s="126"/>
      <c r="I2" s="126"/>
      <c r="J2" s="126"/>
      <c r="K2" s="126"/>
      <c r="L2" s="126"/>
      <c r="M2" s="126"/>
      <c r="N2" s="126"/>
      <c r="O2" s="126"/>
      <c r="P2" s="126"/>
      <c r="Q2" s="126"/>
    </row>
    <row r="3" spans="1:17" ht="16.5" thickTop="1" x14ac:dyDescent="0.25">
      <c r="A3" s="126"/>
      <c r="B3" s="128"/>
      <c r="C3" s="129"/>
      <c r="D3" s="129"/>
      <c r="E3" s="129"/>
      <c r="F3" s="129"/>
      <c r="G3" s="129"/>
      <c r="H3" s="129"/>
      <c r="I3" s="129"/>
      <c r="J3" s="129"/>
      <c r="K3" s="129"/>
      <c r="L3" s="129"/>
      <c r="M3" s="129"/>
      <c r="N3" s="129"/>
      <c r="O3" s="129"/>
      <c r="P3" s="130"/>
      <c r="Q3" s="126"/>
    </row>
    <row r="4" spans="1:17" x14ac:dyDescent="0.25">
      <c r="A4" s="126"/>
      <c r="B4" s="131"/>
      <c r="C4" s="132"/>
      <c r="D4" s="132"/>
      <c r="E4" s="303" t="s">
        <v>123</v>
      </c>
      <c r="F4" s="305" t="s">
        <v>235</v>
      </c>
      <c r="G4" s="305"/>
      <c r="H4" s="305"/>
      <c r="I4" s="305"/>
      <c r="J4" s="305"/>
      <c r="K4" s="305"/>
      <c r="L4" s="305"/>
      <c r="M4" s="305"/>
      <c r="N4" s="133"/>
      <c r="O4" s="133"/>
      <c r="P4" s="134"/>
      <c r="Q4" s="126"/>
    </row>
    <row r="5" spans="1:17" ht="45.75" customHeight="1" x14ac:dyDescent="0.25">
      <c r="A5" s="126"/>
      <c r="B5" s="131"/>
      <c r="C5" s="132"/>
      <c r="D5" s="132"/>
      <c r="E5" s="304"/>
      <c r="F5" s="305"/>
      <c r="G5" s="305"/>
      <c r="H5" s="305"/>
      <c r="I5" s="305"/>
      <c r="J5" s="305"/>
      <c r="K5" s="305"/>
      <c r="L5" s="305"/>
      <c r="M5" s="305"/>
      <c r="N5" s="133"/>
      <c r="O5" s="133"/>
      <c r="P5" s="134"/>
      <c r="Q5" s="126"/>
    </row>
    <row r="6" spans="1:17" ht="66.75" customHeight="1" x14ac:dyDescent="0.25">
      <c r="A6" s="126"/>
      <c r="B6" s="131"/>
      <c r="C6" s="132"/>
      <c r="D6" s="132"/>
      <c r="E6" s="135" t="s">
        <v>124</v>
      </c>
      <c r="F6" s="306" t="s">
        <v>231</v>
      </c>
      <c r="G6" s="307"/>
      <c r="H6" s="307"/>
      <c r="I6" s="307"/>
      <c r="J6" s="307"/>
      <c r="K6" s="307"/>
      <c r="L6" s="307"/>
      <c r="M6" s="308"/>
      <c r="N6" s="136"/>
      <c r="O6" s="136"/>
      <c r="P6" s="134"/>
      <c r="Q6" s="126"/>
    </row>
    <row r="7" spans="1:17" ht="16.5" thickBot="1" x14ac:dyDescent="0.3">
      <c r="A7" s="126"/>
      <c r="B7" s="131"/>
      <c r="C7" s="132"/>
      <c r="D7" s="132"/>
      <c r="E7" s="137"/>
      <c r="F7" s="136"/>
      <c r="G7" s="136"/>
      <c r="H7" s="136"/>
      <c r="I7" s="136"/>
      <c r="J7" s="136"/>
      <c r="K7" s="136"/>
      <c r="L7" s="136"/>
      <c r="M7" s="132"/>
      <c r="N7" s="132"/>
      <c r="O7" s="132"/>
      <c r="P7" s="134"/>
      <c r="Q7" s="126"/>
    </row>
    <row r="8" spans="1:17" ht="97.5" customHeight="1" thickBot="1" x14ac:dyDescent="0.3">
      <c r="A8" s="126"/>
      <c r="B8" s="131"/>
      <c r="C8" s="132"/>
      <c r="D8" s="132"/>
      <c r="E8" s="132"/>
      <c r="F8" s="132"/>
      <c r="G8" s="132"/>
      <c r="H8" s="132"/>
      <c r="I8" s="309" t="s">
        <v>125</v>
      </c>
      <c r="J8" s="310"/>
      <c r="K8" s="311"/>
      <c r="L8" s="132"/>
      <c r="M8" s="138">
        <f>+AVERAGE(G26,G28,G30,G32,G34)</f>
        <v>0.75309523809523804</v>
      </c>
      <c r="N8" s="139"/>
      <c r="O8" s="139"/>
      <c r="P8" s="134"/>
      <c r="Q8" s="126"/>
    </row>
    <row r="9" spans="1:17" x14ac:dyDescent="0.25">
      <c r="A9" s="126"/>
      <c r="B9" s="131"/>
      <c r="C9" s="132"/>
      <c r="D9" s="132"/>
      <c r="E9" s="132"/>
      <c r="F9" s="132"/>
      <c r="G9" s="132"/>
      <c r="H9" s="132"/>
      <c r="I9" s="132"/>
      <c r="J9" s="132"/>
      <c r="K9" s="132"/>
      <c r="L9" s="132"/>
      <c r="M9" s="113"/>
      <c r="N9" s="113"/>
      <c r="O9" s="113"/>
      <c r="P9" s="134"/>
      <c r="Q9" s="126"/>
    </row>
    <row r="10" spans="1:17" x14ac:dyDescent="0.25">
      <c r="A10" s="126"/>
      <c r="B10" s="131"/>
      <c r="C10" s="132"/>
      <c r="D10" s="132"/>
      <c r="E10" s="132"/>
      <c r="F10" s="132"/>
      <c r="G10" s="132"/>
      <c r="H10" s="132"/>
      <c r="I10" s="132"/>
      <c r="J10" s="132"/>
      <c r="K10" s="132"/>
      <c r="L10" s="132"/>
      <c r="M10" s="132"/>
      <c r="N10" s="132"/>
      <c r="O10" s="132"/>
      <c r="P10" s="134"/>
      <c r="Q10" s="126"/>
    </row>
    <row r="11" spans="1:17" x14ac:dyDescent="0.25">
      <c r="A11" s="126"/>
      <c r="B11" s="131"/>
      <c r="C11" s="132"/>
      <c r="D11" s="132"/>
      <c r="E11" s="132"/>
      <c r="F11" s="132"/>
      <c r="G11" s="132"/>
      <c r="H11" s="132"/>
      <c r="I11" s="132"/>
      <c r="J11" s="132"/>
      <c r="K11" s="132"/>
      <c r="L11" s="132"/>
      <c r="M11" s="132"/>
      <c r="N11" s="132"/>
      <c r="O11" s="132"/>
      <c r="P11" s="134"/>
      <c r="Q11" s="126"/>
    </row>
    <row r="12" spans="1:17" x14ac:dyDescent="0.25">
      <c r="A12" s="126"/>
      <c r="B12" s="131"/>
      <c r="C12" s="132"/>
      <c r="D12" s="132"/>
      <c r="E12" s="132"/>
      <c r="F12" s="132"/>
      <c r="G12" s="132"/>
      <c r="H12" s="132"/>
      <c r="I12" s="132"/>
      <c r="J12" s="132"/>
      <c r="K12" s="132"/>
      <c r="L12" s="132"/>
      <c r="M12" s="132"/>
      <c r="N12" s="132"/>
      <c r="O12" s="132"/>
      <c r="P12" s="134"/>
      <c r="Q12" s="126"/>
    </row>
    <row r="13" spans="1:17" x14ac:dyDescent="0.25">
      <c r="A13" s="126"/>
      <c r="B13" s="131"/>
      <c r="C13" s="132"/>
      <c r="D13" s="132"/>
      <c r="E13" s="132"/>
      <c r="F13" s="132"/>
      <c r="G13" s="132"/>
      <c r="H13" s="132"/>
      <c r="I13" s="132"/>
      <c r="J13" s="132"/>
      <c r="K13" s="132"/>
      <c r="L13" s="132"/>
      <c r="M13" s="132"/>
      <c r="N13" s="132"/>
      <c r="O13" s="132"/>
      <c r="P13" s="134"/>
      <c r="Q13" s="126"/>
    </row>
    <row r="14" spans="1:17" x14ac:dyDescent="0.25">
      <c r="A14" s="126"/>
      <c r="B14" s="131"/>
      <c r="C14" s="132"/>
      <c r="D14" s="132"/>
      <c r="E14" s="132"/>
      <c r="F14" s="132"/>
      <c r="G14" s="132"/>
      <c r="H14" s="132"/>
      <c r="I14" s="132"/>
      <c r="J14" s="132"/>
      <c r="K14" s="132"/>
      <c r="L14" s="132"/>
      <c r="M14" s="132"/>
      <c r="N14" s="132"/>
      <c r="O14" s="132"/>
      <c r="P14" s="134"/>
      <c r="Q14" s="126"/>
    </row>
    <row r="15" spans="1:17" x14ac:dyDescent="0.25">
      <c r="A15" s="126"/>
      <c r="B15" s="131"/>
      <c r="C15" s="132"/>
      <c r="D15" s="132"/>
      <c r="E15" s="132"/>
      <c r="F15" s="132"/>
      <c r="G15" s="132"/>
      <c r="H15" s="132"/>
      <c r="I15" s="132"/>
      <c r="J15" s="132"/>
      <c r="K15" s="132"/>
      <c r="L15" s="132"/>
      <c r="M15" s="132"/>
      <c r="N15" s="132"/>
      <c r="O15" s="132"/>
      <c r="P15" s="134"/>
      <c r="Q15" s="126"/>
    </row>
    <row r="16" spans="1:17" x14ac:dyDescent="0.25">
      <c r="A16" s="126"/>
      <c r="B16" s="131"/>
      <c r="C16" s="132"/>
      <c r="D16" s="132"/>
      <c r="E16" s="132"/>
      <c r="F16" s="132"/>
      <c r="G16" s="132"/>
      <c r="H16" s="132"/>
      <c r="I16" s="132"/>
      <c r="J16" s="132"/>
      <c r="K16" s="132"/>
      <c r="L16" s="132"/>
      <c r="M16" s="132"/>
      <c r="N16" s="132"/>
      <c r="O16" s="132"/>
      <c r="P16" s="134"/>
      <c r="Q16" s="126"/>
    </row>
    <row r="17" spans="1:17" x14ac:dyDescent="0.25">
      <c r="A17" s="126"/>
      <c r="B17" s="131"/>
      <c r="C17" s="132"/>
      <c r="D17" s="132"/>
      <c r="E17" s="132"/>
      <c r="F17" s="132"/>
      <c r="G17" s="132"/>
      <c r="H17" s="132"/>
      <c r="I17" s="132"/>
      <c r="J17" s="132"/>
      <c r="K17" s="132"/>
      <c r="L17" s="132"/>
      <c r="M17" s="132"/>
      <c r="N17" s="132"/>
      <c r="O17" s="132"/>
      <c r="P17" s="134"/>
      <c r="Q17" s="126"/>
    </row>
    <row r="18" spans="1:17" x14ac:dyDescent="0.25">
      <c r="A18" s="126"/>
      <c r="B18" s="131"/>
      <c r="C18" s="312" t="s">
        <v>126</v>
      </c>
      <c r="D18" s="313"/>
      <c r="E18" s="313"/>
      <c r="F18" s="313"/>
      <c r="G18" s="313"/>
      <c r="H18" s="313"/>
      <c r="I18" s="313"/>
      <c r="J18" s="313"/>
      <c r="K18" s="313"/>
      <c r="L18" s="313"/>
      <c r="M18" s="314"/>
      <c r="N18" s="140"/>
      <c r="O18" s="140"/>
      <c r="P18" s="134"/>
      <c r="Q18" s="126"/>
    </row>
    <row r="19" spans="1:17" ht="16.5" thickBot="1" x14ac:dyDescent="0.3">
      <c r="A19" s="126"/>
      <c r="B19" s="131"/>
      <c r="C19" s="114"/>
      <c r="D19" s="114"/>
      <c r="E19" s="114"/>
      <c r="F19" s="114"/>
      <c r="G19" s="114"/>
      <c r="H19" s="114"/>
      <c r="I19" s="114"/>
      <c r="J19" s="114"/>
      <c r="K19" s="114"/>
      <c r="L19" s="114"/>
      <c r="M19" s="114"/>
      <c r="N19" s="115"/>
      <c r="O19" s="115"/>
      <c r="P19" s="134"/>
      <c r="Q19" s="126"/>
    </row>
    <row r="20" spans="1:17" ht="150" customHeight="1" x14ac:dyDescent="0.25">
      <c r="A20" s="126"/>
      <c r="B20" s="131"/>
      <c r="C20" s="315" t="s">
        <v>127</v>
      </c>
      <c r="D20" s="316"/>
      <c r="E20" s="141" t="s">
        <v>75</v>
      </c>
      <c r="F20" s="317" t="s">
        <v>232</v>
      </c>
      <c r="G20" s="317"/>
      <c r="H20" s="317"/>
      <c r="I20" s="317"/>
      <c r="J20" s="317"/>
      <c r="K20" s="317"/>
      <c r="L20" s="317"/>
      <c r="M20" s="318"/>
      <c r="N20" s="115"/>
      <c r="O20" s="115"/>
      <c r="P20" s="134"/>
      <c r="Q20" s="126"/>
    </row>
    <row r="21" spans="1:17" ht="126.75" customHeight="1" x14ac:dyDescent="0.25">
      <c r="A21" s="126"/>
      <c r="B21" s="131"/>
      <c r="C21" s="299" t="s">
        <v>128</v>
      </c>
      <c r="D21" s="300"/>
      <c r="E21" s="142" t="s">
        <v>38</v>
      </c>
      <c r="F21" s="319" t="s">
        <v>233</v>
      </c>
      <c r="G21" s="319"/>
      <c r="H21" s="319"/>
      <c r="I21" s="319"/>
      <c r="J21" s="319"/>
      <c r="K21" s="319"/>
      <c r="L21" s="319"/>
      <c r="M21" s="320"/>
      <c r="N21" s="115"/>
      <c r="O21" s="115"/>
      <c r="P21" s="134"/>
      <c r="Q21" s="126"/>
    </row>
    <row r="22" spans="1:17" ht="151.5" customHeight="1" thickBot="1" x14ac:dyDescent="0.3">
      <c r="A22" s="126"/>
      <c r="B22" s="131"/>
      <c r="C22" s="301" t="s">
        <v>129</v>
      </c>
      <c r="D22" s="302"/>
      <c r="E22" s="143" t="s">
        <v>38</v>
      </c>
      <c r="F22" s="321" t="s">
        <v>234</v>
      </c>
      <c r="G22" s="321"/>
      <c r="H22" s="321"/>
      <c r="I22" s="321"/>
      <c r="J22" s="321"/>
      <c r="K22" s="321"/>
      <c r="L22" s="321"/>
      <c r="M22" s="322"/>
      <c r="N22" s="115"/>
      <c r="O22" s="115"/>
      <c r="P22" s="134"/>
      <c r="Q22" s="126"/>
    </row>
    <row r="23" spans="1:17" x14ac:dyDescent="0.25">
      <c r="A23" s="126"/>
      <c r="B23" s="131"/>
      <c r="C23" s="132"/>
      <c r="D23" s="132"/>
      <c r="E23" s="132"/>
      <c r="F23" s="132"/>
      <c r="G23" s="144"/>
      <c r="H23" s="132"/>
      <c r="I23" s="132"/>
      <c r="J23" s="132"/>
      <c r="K23" s="132"/>
      <c r="L23" s="132"/>
      <c r="M23" s="132"/>
      <c r="N23" s="132"/>
      <c r="O23" s="132"/>
      <c r="P23" s="134"/>
      <c r="Q23" s="126"/>
    </row>
    <row r="24" spans="1:17" x14ac:dyDescent="0.25">
      <c r="A24" s="126"/>
      <c r="B24" s="131"/>
      <c r="C24" s="145" t="s">
        <v>130</v>
      </c>
      <c r="D24" s="146"/>
      <c r="E24" s="145" t="s">
        <v>131</v>
      </c>
      <c r="F24" s="146"/>
      <c r="G24" s="145" t="s">
        <v>132</v>
      </c>
      <c r="H24" s="146"/>
      <c r="I24" s="326" t="s">
        <v>223</v>
      </c>
      <c r="J24" s="326"/>
      <c r="K24" s="326"/>
      <c r="L24" s="326"/>
      <c r="M24" s="326"/>
      <c r="N24" s="116"/>
      <c r="O24" s="116"/>
      <c r="P24" s="134"/>
      <c r="Q24" s="147"/>
    </row>
    <row r="25" spans="1:17" ht="13.5" customHeight="1" thickBot="1" x14ac:dyDescent="0.3">
      <c r="A25" s="126"/>
      <c r="B25" s="131"/>
      <c r="C25" s="117"/>
      <c r="D25" s="148"/>
      <c r="E25" s="148"/>
      <c r="F25" s="148"/>
      <c r="G25" s="148"/>
      <c r="H25" s="148"/>
      <c r="I25" s="330"/>
      <c r="J25" s="330"/>
      <c r="K25" s="330"/>
      <c r="L25" s="330"/>
      <c r="M25" s="330"/>
      <c r="N25" s="149"/>
      <c r="O25" s="149"/>
      <c r="P25" s="134"/>
      <c r="Q25" s="126"/>
    </row>
    <row r="26" spans="1:17" ht="155.25" customHeight="1" thickBot="1" x14ac:dyDescent="0.3">
      <c r="A26" s="126"/>
      <c r="B26" s="131"/>
      <c r="C26" s="150" t="s">
        <v>32</v>
      </c>
      <c r="D26" s="118"/>
      <c r="E26" s="151" t="str">
        <f>+IF(Hoja1!K2&gt;=0.5,"Si","No")</f>
        <v>Si</v>
      </c>
      <c r="F26" s="119"/>
      <c r="G26" s="152">
        <f>+Hoja1!K2</f>
        <v>0.95833333333333337</v>
      </c>
      <c r="H26" s="119"/>
      <c r="I26" s="327" t="s">
        <v>228</v>
      </c>
      <c r="J26" s="328"/>
      <c r="K26" s="328"/>
      <c r="L26" s="328"/>
      <c r="M26" s="329"/>
      <c r="N26" s="120"/>
      <c r="O26" s="121"/>
      <c r="P26" s="122"/>
      <c r="Q26" s="123"/>
    </row>
    <row r="27" spans="1:17" ht="16.5" thickBot="1" x14ac:dyDescent="0.3">
      <c r="A27" s="126"/>
      <c r="B27" s="131"/>
      <c r="C27" s="117"/>
      <c r="D27" s="153"/>
      <c r="E27" s="154"/>
      <c r="F27" s="148"/>
      <c r="G27" s="155"/>
      <c r="H27" s="148"/>
      <c r="I27" s="331"/>
      <c r="J27" s="331"/>
      <c r="K27" s="331"/>
      <c r="L27" s="331"/>
      <c r="M27" s="331"/>
      <c r="N27" s="156"/>
      <c r="O27" s="156"/>
      <c r="P27" s="134"/>
      <c r="Q27" s="126"/>
    </row>
    <row r="28" spans="1:17" ht="111.75" customHeight="1" thickBot="1" x14ac:dyDescent="0.3">
      <c r="A28" s="126"/>
      <c r="B28" s="131"/>
      <c r="C28" s="157" t="s">
        <v>133</v>
      </c>
      <c r="D28" s="118"/>
      <c r="E28" s="151" t="str">
        <f>+IF(Hoja1!K14&gt;=0.5,"Si","No")</f>
        <v>Si</v>
      </c>
      <c r="F28" s="148"/>
      <c r="G28" s="152">
        <f>+Hoja1!K14</f>
        <v>0.7</v>
      </c>
      <c r="H28" s="148"/>
      <c r="I28" s="323" t="s">
        <v>226</v>
      </c>
      <c r="J28" s="324"/>
      <c r="K28" s="324"/>
      <c r="L28" s="324"/>
      <c r="M28" s="325"/>
      <c r="N28" s="120"/>
      <c r="O28" s="120"/>
      <c r="P28" s="134"/>
      <c r="Q28" s="126"/>
    </row>
    <row r="29" spans="1:17" ht="16.5" thickBot="1" x14ac:dyDescent="0.3">
      <c r="A29" s="126"/>
      <c r="B29" s="131"/>
      <c r="C29" s="117"/>
      <c r="D29" s="153"/>
      <c r="E29" s="154"/>
      <c r="F29" s="148"/>
      <c r="G29" s="155"/>
      <c r="H29" s="148"/>
      <c r="I29" s="331"/>
      <c r="J29" s="331"/>
      <c r="K29" s="331"/>
      <c r="L29" s="331"/>
      <c r="M29" s="331"/>
      <c r="N29" s="156"/>
      <c r="O29" s="156"/>
      <c r="P29" s="134"/>
      <c r="Q29" s="126"/>
    </row>
    <row r="30" spans="1:17" ht="123" customHeight="1" thickBot="1" x14ac:dyDescent="0.3">
      <c r="A30" s="126"/>
      <c r="B30" s="131"/>
      <c r="C30" s="158" t="s">
        <v>134</v>
      </c>
      <c r="D30" s="118"/>
      <c r="E30" s="151" t="str">
        <f>+IF(Hoja1!K24&gt;=0.5,"Si","No")</f>
        <v>Si</v>
      </c>
      <c r="F30" s="148"/>
      <c r="G30" s="152">
        <f>+Hoja1!K24</f>
        <v>0.6</v>
      </c>
      <c r="H30" s="148"/>
      <c r="I30" s="323" t="s">
        <v>227</v>
      </c>
      <c r="J30" s="324"/>
      <c r="K30" s="324"/>
      <c r="L30" s="324"/>
      <c r="M30" s="325"/>
      <c r="N30" s="120"/>
      <c r="O30" s="120"/>
      <c r="P30" s="134"/>
      <c r="Q30" s="126"/>
    </row>
    <row r="31" spans="1:17" ht="16.5" thickBot="1" x14ac:dyDescent="0.3">
      <c r="A31" s="126"/>
      <c r="B31" s="131"/>
      <c r="C31" s="117"/>
      <c r="D31" s="153"/>
      <c r="E31" s="154"/>
      <c r="F31" s="148"/>
      <c r="G31" s="155"/>
      <c r="H31" s="148"/>
      <c r="I31" s="331"/>
      <c r="J31" s="331"/>
      <c r="K31" s="331"/>
      <c r="L31" s="331"/>
      <c r="M31" s="331"/>
      <c r="N31" s="156"/>
      <c r="O31" s="156"/>
      <c r="P31" s="134"/>
      <c r="Q31" s="126"/>
    </row>
    <row r="32" spans="1:17" ht="171" customHeight="1" thickBot="1" x14ac:dyDescent="0.3">
      <c r="A32" s="126"/>
      <c r="B32" s="131"/>
      <c r="C32" s="159" t="s">
        <v>86</v>
      </c>
      <c r="D32" s="118"/>
      <c r="E32" s="151" t="str">
        <f>+IF(Hoja1!K29&gt;=0.5,"Si","No")</f>
        <v>Si</v>
      </c>
      <c r="F32" s="148"/>
      <c r="G32" s="152">
        <f>+Hoja1!K29</f>
        <v>0.8571428571428571</v>
      </c>
      <c r="H32" s="148"/>
      <c r="I32" s="323" t="s">
        <v>229</v>
      </c>
      <c r="J32" s="324"/>
      <c r="K32" s="324"/>
      <c r="L32" s="324"/>
      <c r="M32" s="325"/>
      <c r="N32" s="120"/>
      <c r="O32" s="120"/>
      <c r="P32" s="134"/>
      <c r="Q32" s="126"/>
    </row>
    <row r="33" spans="1:17" ht="16.5" thickBot="1" x14ac:dyDescent="0.3">
      <c r="A33" s="126"/>
      <c r="B33" s="131"/>
      <c r="C33" s="117"/>
      <c r="D33" s="153"/>
      <c r="E33" s="154"/>
      <c r="F33" s="148"/>
      <c r="G33" s="155"/>
      <c r="H33" s="148"/>
      <c r="I33" s="331"/>
      <c r="J33" s="331"/>
      <c r="K33" s="331"/>
      <c r="L33" s="331"/>
      <c r="M33" s="331"/>
      <c r="N33" s="156"/>
      <c r="O33" s="156"/>
      <c r="P33" s="134"/>
      <c r="Q33" s="126"/>
    </row>
    <row r="34" spans="1:17" ht="164.25" customHeight="1" thickBot="1" x14ac:dyDescent="0.3">
      <c r="A34" s="126"/>
      <c r="B34" s="131"/>
      <c r="C34" s="160" t="s">
        <v>135</v>
      </c>
      <c r="D34" s="118"/>
      <c r="E34" s="161" t="str">
        <f>+IF(Hoja1!K36&gt;=0.5,"Si","No")</f>
        <v>Si</v>
      </c>
      <c r="F34" s="148"/>
      <c r="G34" s="152">
        <f>+Hoja1!K36</f>
        <v>0.65</v>
      </c>
      <c r="H34" s="148"/>
      <c r="I34" s="323" t="s">
        <v>230</v>
      </c>
      <c r="J34" s="324"/>
      <c r="K34" s="324"/>
      <c r="L34" s="324"/>
      <c r="M34" s="325"/>
      <c r="N34" s="120"/>
      <c r="O34" s="120"/>
      <c r="P34" s="134"/>
      <c r="Q34" s="126"/>
    </row>
    <row r="35" spans="1:17" x14ac:dyDescent="0.25">
      <c r="A35" s="126"/>
      <c r="B35" s="131"/>
      <c r="C35" s="124"/>
      <c r="D35" s="124"/>
      <c r="E35" s="115"/>
      <c r="F35" s="132"/>
      <c r="G35" s="132"/>
      <c r="H35" s="132"/>
      <c r="I35" s="132"/>
      <c r="J35" s="132"/>
      <c r="K35" s="132"/>
      <c r="L35" s="132"/>
      <c r="M35" s="125"/>
      <c r="N35" s="125"/>
      <c r="O35" s="125"/>
      <c r="P35" s="134"/>
      <c r="Q35" s="126"/>
    </row>
    <row r="36" spans="1:17" x14ac:dyDescent="0.25">
      <c r="A36" s="126"/>
      <c r="B36" s="131"/>
      <c r="C36" s="162"/>
      <c r="D36" s="124"/>
      <c r="E36" s="115"/>
      <c r="F36" s="132"/>
      <c r="G36" s="132"/>
      <c r="H36" s="132"/>
      <c r="I36" s="132"/>
      <c r="J36" s="132"/>
      <c r="K36" s="132"/>
      <c r="L36" s="132"/>
      <c r="M36" s="125"/>
      <c r="N36" s="125"/>
      <c r="O36" s="125"/>
      <c r="P36" s="134"/>
      <c r="Q36" s="126"/>
    </row>
    <row r="37" spans="1:17" x14ac:dyDescent="0.25">
      <c r="A37" s="126"/>
      <c r="B37" s="131"/>
      <c r="C37" s="163"/>
      <c r="D37" s="132"/>
      <c r="E37" s="132"/>
      <c r="F37" s="132"/>
      <c r="G37" s="132"/>
      <c r="H37" s="132"/>
      <c r="I37" s="132"/>
      <c r="J37" s="132"/>
      <c r="K37" s="132"/>
      <c r="L37" s="132"/>
      <c r="M37" s="132"/>
      <c r="N37" s="132"/>
      <c r="O37" s="132"/>
      <c r="P37" s="134"/>
      <c r="Q37" s="126"/>
    </row>
    <row r="38" spans="1:17" ht="16.5" thickBot="1" x14ac:dyDescent="0.3">
      <c r="A38" s="126"/>
      <c r="B38" s="164"/>
      <c r="C38" s="165"/>
      <c r="D38" s="165"/>
      <c r="E38" s="165"/>
      <c r="F38" s="165"/>
      <c r="G38" s="165"/>
      <c r="H38" s="165"/>
      <c r="I38" s="165"/>
      <c r="J38" s="165"/>
      <c r="K38" s="165"/>
      <c r="L38" s="165"/>
      <c r="M38" s="165"/>
      <c r="N38" s="165"/>
      <c r="O38" s="165"/>
      <c r="P38" s="166"/>
      <c r="Q38" s="126"/>
    </row>
    <row r="39" spans="1:17" ht="16.5" thickTop="1" x14ac:dyDescent="0.25">
      <c r="A39" s="126"/>
      <c r="B39" s="126"/>
      <c r="C39" s="126"/>
      <c r="D39" s="126"/>
      <c r="E39" s="126"/>
      <c r="F39" s="126"/>
      <c r="G39" s="126"/>
      <c r="H39" s="126"/>
      <c r="I39" s="126"/>
      <c r="J39" s="126"/>
      <c r="K39" s="126"/>
      <c r="L39" s="126"/>
      <c r="M39" s="126"/>
      <c r="N39" s="126"/>
      <c r="O39" s="126"/>
      <c r="P39" s="126"/>
      <c r="Q39" s="126"/>
    </row>
    <row r="40" spans="1:17" x14ac:dyDescent="0.25">
      <c r="A40" s="126"/>
      <c r="B40" s="126"/>
      <c r="C40" s="126"/>
      <c r="D40" s="126"/>
      <c r="E40" s="126"/>
      <c r="F40" s="126"/>
      <c r="G40" s="126"/>
      <c r="H40" s="126"/>
      <c r="I40" s="126"/>
      <c r="J40" s="126"/>
      <c r="K40" s="126"/>
      <c r="L40" s="126"/>
      <c r="M40" s="126"/>
      <c r="N40" s="126"/>
      <c r="O40" s="126"/>
      <c r="P40" s="126"/>
      <c r="Q40" s="126"/>
    </row>
    <row r="41" spans="1:17" x14ac:dyDescent="0.25">
      <c r="A41" s="126"/>
      <c r="B41" s="126"/>
      <c r="C41" s="126"/>
      <c r="D41" s="126"/>
      <c r="E41" s="126"/>
      <c r="F41" s="126"/>
      <c r="G41" s="126"/>
      <c r="H41" s="126"/>
      <c r="I41" s="126"/>
      <c r="J41" s="126"/>
      <c r="K41" s="126"/>
      <c r="L41" s="126"/>
      <c r="M41" s="126"/>
      <c r="N41" s="126"/>
      <c r="O41" s="126"/>
      <c r="P41" s="126"/>
      <c r="Q41" s="126"/>
    </row>
  </sheetData>
  <sheetProtection algorithmName="SHA-512" hashValue="mur5Q3PEaZxn8LXLz/eSymodHMyMcb7gr8gXWBwpSU/m7uV0ZPVWkcKOdJlg0OS/SXBXX9P/iBb2vTO1mWy68A==" saltValue="abZlHLcGIMQMz4F8z7vkTw==" spinCount="100000" sheet="1" objects="1" scenarios="1" formatCells="0" formatRows="0"/>
  <mergeCells count="22">
    <mergeCell ref="I34:M34"/>
    <mergeCell ref="I30:M30"/>
    <mergeCell ref="I32:M32"/>
    <mergeCell ref="I24:M24"/>
    <mergeCell ref="I26:M26"/>
    <mergeCell ref="I28:M28"/>
    <mergeCell ref="I25:M25"/>
    <mergeCell ref="I27:M27"/>
    <mergeCell ref="I29:M29"/>
    <mergeCell ref="I31:M31"/>
    <mergeCell ref="I33:M33"/>
    <mergeCell ref="C21:D21"/>
    <mergeCell ref="C22:D22"/>
    <mergeCell ref="E4:E5"/>
    <mergeCell ref="F4:M5"/>
    <mergeCell ref="F6:M6"/>
    <mergeCell ref="I8:K8"/>
    <mergeCell ref="C18:M18"/>
    <mergeCell ref="C20:D20"/>
    <mergeCell ref="F20:M20"/>
    <mergeCell ref="F21:M21"/>
    <mergeCell ref="F22:M22"/>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scale="33" fitToHeight="0"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80" t="s">
        <v>25</v>
      </c>
      <c r="B1" s="80" t="s">
        <v>6</v>
      </c>
      <c r="C1" s="81" t="s">
        <v>8</v>
      </c>
      <c r="D1" s="82" t="s">
        <v>26</v>
      </c>
      <c r="E1" s="82" t="s">
        <v>27</v>
      </c>
      <c r="F1" s="82" t="s">
        <v>136</v>
      </c>
      <c r="G1" s="83" t="s">
        <v>137</v>
      </c>
      <c r="H1" s="83" t="s">
        <v>138</v>
      </c>
      <c r="I1" s="83" t="s">
        <v>118</v>
      </c>
      <c r="J1" s="83" t="s">
        <v>139</v>
      </c>
      <c r="K1" s="83" t="s">
        <v>140</v>
      </c>
    </row>
    <row r="2" spans="1:11" x14ac:dyDescent="0.25">
      <c r="A2" s="84" t="s">
        <v>141</v>
      </c>
      <c r="B2" s="84" t="str">
        <f>+VLOOKUP(A2,'Estado SCI'!$A$16:$C$59,3,0)</f>
        <v>AMBIENTE DE CONTROL</v>
      </c>
      <c r="C2" s="84" t="s">
        <v>33</v>
      </c>
      <c r="D2" s="84" t="s">
        <v>34</v>
      </c>
      <c r="E2" s="84" t="s">
        <v>35</v>
      </c>
      <c r="F2" s="84" t="str">
        <f>+VLOOKUP(A2,'Estado SCI'!$A$16:$I$59,9,0)</f>
        <v>Mantenimiento del control</v>
      </c>
      <c r="G2" s="84">
        <f>+VLOOKUP(A2,'Estado SCI'!$A$16:$L$59,12,0)</f>
        <v>20.123000000000001</v>
      </c>
      <c r="H2" s="84">
        <f t="shared" ref="H2:H45" si="0">+_xlfn.RANK.EQ(G2,$G$2:$G$45,1)</f>
        <v>2</v>
      </c>
      <c r="I2" s="84" t="str">
        <f>+IF(VLOOKUP(A2,'Estado SCI'!$A$16:$G$59,7,0)="","",VLOOKUP(A2,'Estado SCI'!$A$16:$G$59,7,0))</f>
        <v>Si</v>
      </c>
      <c r="J2" s="85">
        <f>+IF(I2="Si",1,IF(I2="En proceso",0.5,0))</f>
        <v>1</v>
      </c>
      <c r="K2" s="86">
        <f t="shared" ref="K2:K45" si="1">+AVERAGEIF($B$2:$B$45,B2,$J$2:$J$45)</f>
        <v>0.95833333333333337</v>
      </c>
    </row>
    <row r="3" spans="1:11" x14ac:dyDescent="0.25">
      <c r="A3" s="84" t="s">
        <v>142</v>
      </c>
      <c r="B3" s="84" t="s">
        <v>32</v>
      </c>
      <c r="C3" s="84" t="s">
        <v>33</v>
      </c>
      <c r="D3" s="84" t="s">
        <v>36</v>
      </c>
      <c r="E3" s="84" t="s">
        <v>37</v>
      </c>
      <c r="F3" s="84" t="str">
        <f>+VLOOKUP(A3,'Estado SCI'!$A$16:$I$59,9,0)</f>
        <v>Mantenimiento del control</v>
      </c>
      <c r="G3" s="84">
        <f>+VLOOKUP(A3,'Estado SCI'!$A$16:$L$59,12,0)</f>
        <v>20.1234</v>
      </c>
      <c r="H3" s="84">
        <f t="shared" si="0"/>
        <v>3</v>
      </c>
      <c r="I3" s="84" t="str">
        <f>+IF(VLOOKUP(A3,'Estado SCI'!$A$16:$G$59,7,0)="","",VLOOKUP(A3,'Estado SCI'!$A$16:$G$59,7,0))</f>
        <v>Si</v>
      </c>
      <c r="J3" s="85">
        <f t="shared" ref="J3:J45" si="2">+IF(I3="Si",1,IF(I3="En proceso",0.5,0))</f>
        <v>1</v>
      </c>
      <c r="K3" s="86">
        <f t="shared" si="1"/>
        <v>0.95833333333333337</v>
      </c>
    </row>
    <row r="4" spans="1:11" x14ac:dyDescent="0.25">
      <c r="A4" s="84" t="s">
        <v>143</v>
      </c>
      <c r="B4" s="84" t="s">
        <v>32</v>
      </c>
      <c r="C4" s="84" t="s">
        <v>33</v>
      </c>
      <c r="D4" s="84" t="s">
        <v>39</v>
      </c>
      <c r="E4" s="84" t="s">
        <v>40</v>
      </c>
      <c r="F4" s="84" t="str">
        <f>+VLOOKUP(A4,'Estado SCI'!$A$16:$I$59,9,0)</f>
        <v>Mantenimiento del control</v>
      </c>
      <c r="G4" s="84">
        <f>+VLOOKUP(A4,'Estado SCI'!$A$16:$L$59,12,0)</f>
        <v>20.123449999999998</v>
      </c>
      <c r="H4" s="84">
        <f t="shared" si="0"/>
        <v>4</v>
      </c>
      <c r="I4" s="84" t="str">
        <f>+IF(VLOOKUP(A4,'Estado SCI'!$A$16:$G$59,7,0)="","",VLOOKUP(A4,'Estado SCI'!$A$16:$G$59,7,0))</f>
        <v>Si</v>
      </c>
      <c r="J4" s="85">
        <f t="shared" si="2"/>
        <v>1</v>
      </c>
      <c r="K4" s="86">
        <f t="shared" si="1"/>
        <v>0.95833333333333337</v>
      </c>
    </row>
    <row r="5" spans="1:11" x14ac:dyDescent="0.25">
      <c r="A5" s="84" t="s">
        <v>144</v>
      </c>
      <c r="B5" s="84" t="s">
        <v>32</v>
      </c>
      <c r="C5" s="84" t="s">
        <v>33</v>
      </c>
      <c r="D5" s="84" t="s">
        <v>41</v>
      </c>
      <c r="E5" s="84" t="s">
        <v>42</v>
      </c>
      <c r="F5" s="84" t="str">
        <f>+VLOOKUP(A5,'Estado SCI'!$A$16:$I$59,9,0)</f>
        <v>Mantenimiento del control</v>
      </c>
      <c r="G5" s="84">
        <f>+VLOOKUP(A5,'Estado SCI'!$A$16:$L$59,12,0)</f>
        <v>20.123456000000001</v>
      </c>
      <c r="H5" s="84">
        <f t="shared" si="0"/>
        <v>5</v>
      </c>
      <c r="I5" s="84" t="str">
        <f>+IF(VLOOKUP(A5,'Estado SCI'!$A$16:$G$59,7,0)="","",VLOOKUP(A5,'Estado SCI'!$A$16:$G$59,7,0))</f>
        <v>Si</v>
      </c>
      <c r="J5" s="85">
        <f t="shared" si="2"/>
        <v>1</v>
      </c>
      <c r="K5" s="86">
        <f t="shared" si="1"/>
        <v>0.95833333333333337</v>
      </c>
    </row>
    <row r="6" spans="1:11" x14ac:dyDescent="0.25">
      <c r="A6" s="84" t="s">
        <v>145</v>
      </c>
      <c r="B6" s="84" t="s">
        <v>32</v>
      </c>
      <c r="C6" s="84" t="s">
        <v>33</v>
      </c>
      <c r="D6" s="84" t="s">
        <v>43</v>
      </c>
      <c r="E6" s="84" t="s">
        <v>44</v>
      </c>
      <c r="F6" s="84" t="str">
        <f>+VLOOKUP(A6,'Estado SCI'!$A$16:$I$59,9,0)</f>
        <v>Mantenimiento del control</v>
      </c>
      <c r="G6" s="84">
        <f>+VLOOKUP(A6,'Estado SCI'!$A$16:$L$59,12,0)</f>
        <v>20.123456780000001</v>
      </c>
      <c r="H6" s="84">
        <f t="shared" si="0"/>
        <v>6</v>
      </c>
      <c r="I6" s="84" t="str">
        <f>+IF(VLOOKUP(A6,'Estado SCI'!$A$16:$G$59,7,0)="","",VLOOKUP(A6,'Estado SCI'!$A$16:$G$59,7,0))</f>
        <v>Si</v>
      </c>
      <c r="J6" s="85">
        <f t="shared" si="2"/>
        <v>1</v>
      </c>
      <c r="K6" s="86">
        <f t="shared" si="1"/>
        <v>0.95833333333333337</v>
      </c>
    </row>
    <row r="7" spans="1:11" x14ac:dyDescent="0.25">
      <c r="A7" s="84" t="s">
        <v>146</v>
      </c>
      <c r="B7" s="84" t="s">
        <v>32</v>
      </c>
      <c r="C7" s="84" t="s">
        <v>33</v>
      </c>
      <c r="D7" s="84" t="s">
        <v>45</v>
      </c>
      <c r="E7" s="84" t="s">
        <v>46</v>
      </c>
      <c r="F7" s="84" t="str">
        <f>+VLOOKUP(A7,'Estado SCI'!$A$16:$I$59,9,0)</f>
        <v>Mantenimiento del control</v>
      </c>
      <c r="G7" s="84">
        <f>+VLOOKUP(A7,'Estado SCI'!$A$16:$L$59,12,0)</f>
        <v>20.123456788999999</v>
      </c>
      <c r="H7" s="84">
        <f t="shared" si="0"/>
        <v>7</v>
      </c>
      <c r="I7" s="84" t="str">
        <f>+IF(VLOOKUP(A7,'Estado SCI'!$A$16:$G$59,7,0)="","",VLOOKUP(A7,'Estado SCI'!$A$16:$G$59,7,0))</f>
        <v>Si</v>
      </c>
      <c r="J7" s="85">
        <f t="shared" si="2"/>
        <v>1</v>
      </c>
      <c r="K7" s="86">
        <f t="shared" si="1"/>
        <v>0.95833333333333337</v>
      </c>
    </row>
    <row r="8" spans="1:11" x14ac:dyDescent="0.25">
      <c r="A8" s="84" t="s">
        <v>147</v>
      </c>
      <c r="B8" s="84" t="s">
        <v>32</v>
      </c>
      <c r="C8" s="84" t="s">
        <v>33</v>
      </c>
      <c r="D8" s="84" t="s">
        <v>47</v>
      </c>
      <c r="E8" s="84" t="s">
        <v>48</v>
      </c>
      <c r="F8" s="84" t="str">
        <f>+VLOOKUP(A8,'Estado SCI'!$A$16:$I$59,9,0)</f>
        <v>Mantenimiento del control</v>
      </c>
      <c r="G8" s="84">
        <f>+VLOOKUP(A8,'Estado SCI'!$A$16:$L$59,12,0)</f>
        <v>20.1234567891</v>
      </c>
      <c r="H8" s="84">
        <f t="shared" si="0"/>
        <v>8</v>
      </c>
      <c r="I8" s="84" t="str">
        <f>+IF(VLOOKUP(A8,'Estado SCI'!$A$16:$G$59,7,0)="","",VLOOKUP(A8,'Estado SCI'!$A$16:$G$59,7,0))</f>
        <v>Si</v>
      </c>
      <c r="J8" s="85">
        <f t="shared" si="2"/>
        <v>1</v>
      </c>
      <c r="K8" s="86">
        <f t="shared" si="1"/>
        <v>0.95833333333333337</v>
      </c>
    </row>
    <row r="9" spans="1:11" x14ac:dyDescent="0.25">
      <c r="A9" s="84" t="s">
        <v>148</v>
      </c>
      <c r="B9" s="84" t="s">
        <v>32</v>
      </c>
      <c r="C9" s="84" t="s">
        <v>33</v>
      </c>
      <c r="D9" s="84" t="s">
        <v>49</v>
      </c>
      <c r="E9" s="84" t="s">
        <v>50</v>
      </c>
      <c r="F9" s="84" t="str">
        <f>+VLOOKUP(A9,'Estado SCI'!$A$16:$I$59,9,0)</f>
        <v>Mantenimiento del control</v>
      </c>
      <c r="G9" s="84">
        <f>+VLOOKUP(A9,'Estado SCI'!$A$16:$L$59,12,0)</f>
        <v>20.123456789119999</v>
      </c>
      <c r="H9" s="84">
        <f t="shared" si="0"/>
        <v>9</v>
      </c>
      <c r="I9" s="84" t="str">
        <f>+IF(VLOOKUP(A9,'Estado SCI'!$A$16:$G$59,7,0)="","",VLOOKUP(A9,'Estado SCI'!$A$16:$G$59,7,0))</f>
        <v>Si</v>
      </c>
      <c r="J9" s="85">
        <f t="shared" si="2"/>
        <v>1</v>
      </c>
      <c r="K9" s="86">
        <f t="shared" si="1"/>
        <v>0.95833333333333337</v>
      </c>
    </row>
    <row r="10" spans="1:11" x14ac:dyDescent="0.25">
      <c r="A10" s="84" t="s">
        <v>149</v>
      </c>
      <c r="B10" s="84" t="s">
        <v>32</v>
      </c>
      <c r="C10" s="84" t="s">
        <v>33</v>
      </c>
      <c r="D10" s="84" t="s">
        <v>51</v>
      </c>
      <c r="E10" s="84" t="s">
        <v>52</v>
      </c>
      <c r="F10" s="84" t="str">
        <f>+VLOOKUP(A10,'Estado SCI'!$A$16:$I$59,9,0)</f>
        <v>Mantenimiento del control</v>
      </c>
      <c r="G10" s="84">
        <f>+VLOOKUP(A10,'Estado SCI'!$A$16:$L$59,12,0)</f>
        <v>20.123456789123001</v>
      </c>
      <c r="H10" s="84">
        <f t="shared" si="0"/>
        <v>10</v>
      </c>
      <c r="I10" s="84" t="str">
        <f>+IF(VLOOKUP(A10,'Estado SCI'!$A$16:$G$59,7,0)="","",VLOOKUP(A10,'Estado SCI'!$A$16:$G$59,7,0))</f>
        <v>Si</v>
      </c>
      <c r="J10" s="85">
        <f t="shared" si="2"/>
        <v>1</v>
      </c>
      <c r="K10" s="86">
        <f t="shared" si="1"/>
        <v>0.95833333333333337</v>
      </c>
    </row>
    <row r="11" spans="1:11" x14ac:dyDescent="0.25">
      <c r="A11" s="84" t="s">
        <v>150</v>
      </c>
      <c r="B11" s="84" t="s">
        <v>32</v>
      </c>
      <c r="C11" s="84" t="s">
        <v>33</v>
      </c>
      <c r="D11" s="84" t="s">
        <v>53</v>
      </c>
      <c r="E11" s="84" t="s">
        <v>54</v>
      </c>
      <c r="F11" s="84" t="str">
        <f>+VLOOKUP(A11,'Estado SCI'!$A$16:$I$59,9,0)</f>
        <v>Oportunidad de mejora</v>
      </c>
      <c r="G11" s="84">
        <f>+VLOOKUP(A11,'Estado SCI'!$A$16:$L$59,12,0)</f>
        <v>10.1234567891234</v>
      </c>
      <c r="H11" s="84">
        <f t="shared" si="0"/>
        <v>1</v>
      </c>
      <c r="I11" s="84" t="str">
        <f>+IF(VLOOKUP(A11,'Estado SCI'!$A$16:$G$59,7,0)="","",VLOOKUP(A11,'Estado SCI'!$A$16:$G$59,7,0))</f>
        <v>En proceso</v>
      </c>
      <c r="J11" s="85">
        <f t="shared" si="2"/>
        <v>0.5</v>
      </c>
      <c r="K11" s="86">
        <f t="shared" si="1"/>
        <v>0.95833333333333337</v>
      </c>
    </row>
    <row r="12" spans="1:11" x14ac:dyDescent="0.25">
      <c r="A12" s="84" t="s">
        <v>151</v>
      </c>
      <c r="B12" s="84" t="s">
        <v>32</v>
      </c>
      <c r="C12" s="84" t="s">
        <v>33</v>
      </c>
      <c r="D12" s="84" t="s">
        <v>55</v>
      </c>
      <c r="E12" s="84" t="s">
        <v>56</v>
      </c>
      <c r="F12" s="84" t="str">
        <f>+VLOOKUP(A12,'Estado SCI'!$A$16:$I$59,9,0)</f>
        <v>Mantenimiento del control</v>
      </c>
      <c r="G12" s="84">
        <f>+VLOOKUP(A12,'Estado SCI'!$A$16:$L$59,12,0)</f>
        <v>20.123456789123448</v>
      </c>
      <c r="H12" s="84">
        <f t="shared" si="0"/>
        <v>11</v>
      </c>
      <c r="I12" s="84" t="str">
        <f>+IF(VLOOKUP(A12,'Estado SCI'!$A$16:$G$59,7,0)="","",VLOOKUP(A12,'Estado SCI'!$A$16:$G$59,7,0))</f>
        <v>Si</v>
      </c>
      <c r="J12" s="85">
        <f t="shared" si="2"/>
        <v>1</v>
      </c>
      <c r="K12" s="86">
        <f t="shared" si="1"/>
        <v>0.95833333333333337</v>
      </c>
    </row>
    <row r="13" spans="1:11" x14ac:dyDescent="0.25">
      <c r="A13" s="84" t="s">
        <v>152</v>
      </c>
      <c r="B13" s="84" t="s">
        <v>32</v>
      </c>
      <c r="C13" s="84" t="s">
        <v>33</v>
      </c>
      <c r="D13" s="84" t="s">
        <v>57</v>
      </c>
      <c r="E13" s="84" t="s">
        <v>58</v>
      </c>
      <c r="F13" s="84" t="str">
        <f>+VLOOKUP(A13,'Estado SCI'!$A$16:$I$59,9,0)</f>
        <v>Mantenimiento del control</v>
      </c>
      <c r="G13" s="84">
        <f>+VLOOKUP(A13,'Estado SCI'!$A$16:$L$59,12,0)</f>
        <v>20.123456789123455</v>
      </c>
      <c r="H13" s="84">
        <f t="shared" si="0"/>
        <v>12</v>
      </c>
      <c r="I13" s="84" t="str">
        <f>+IF(VLOOKUP(A13,'Estado SCI'!$A$16:$G$59,7,0)="","",VLOOKUP(A13,'Estado SCI'!$A$16:$G$59,7,0))</f>
        <v>Si</v>
      </c>
      <c r="J13" s="85">
        <f t="shared" si="2"/>
        <v>1</v>
      </c>
      <c r="K13" s="86">
        <f t="shared" si="1"/>
        <v>0.95833333333333337</v>
      </c>
    </row>
    <row r="14" spans="1:11" ht="15" customHeight="1" x14ac:dyDescent="0.25">
      <c r="A14" s="84" t="s">
        <v>153</v>
      </c>
      <c r="B14" s="84" t="str">
        <f>+VLOOKUP(A14,'Estado SCI'!$A$16:$C$59,3,0)</f>
        <v>EVALUACION DEL RIESGO</v>
      </c>
      <c r="C14" s="84" t="s">
        <v>61</v>
      </c>
      <c r="D14" s="84" t="s">
        <v>34</v>
      </c>
      <c r="E14" s="84" t="s">
        <v>154</v>
      </c>
      <c r="F14" s="84" t="str">
        <f>+VLOOKUP(A14,'Estado SCI'!$A$16:$I$59,9,0)</f>
        <v>Oportunidad de mejora</v>
      </c>
      <c r="G14" s="84">
        <f>+VLOOKUP(A14,'Estado SCI'!$A$16:$L$59,12,0)</f>
        <v>30.23</v>
      </c>
      <c r="H14" s="84">
        <f t="shared" si="0"/>
        <v>13</v>
      </c>
      <c r="I14" s="84" t="str">
        <f>+IF(VLOOKUP(A14,'Estado SCI'!$A$16:$G$59,7,0)="","",VLOOKUP(A14,'Estado SCI'!$A$16:$G$59,7,0))</f>
        <v>En proceso</v>
      </c>
      <c r="J14" s="85">
        <f t="shared" si="2"/>
        <v>0.5</v>
      </c>
      <c r="K14" s="86">
        <f t="shared" si="1"/>
        <v>0.7</v>
      </c>
    </row>
    <row r="15" spans="1:11" ht="15" customHeight="1" x14ac:dyDescent="0.25">
      <c r="A15" s="84" t="s">
        <v>155</v>
      </c>
      <c r="B15" s="84" t="s">
        <v>60</v>
      </c>
      <c r="C15" s="84" t="s">
        <v>61</v>
      </c>
      <c r="D15" s="84" t="s">
        <v>36</v>
      </c>
      <c r="E15" s="84" t="s">
        <v>156</v>
      </c>
      <c r="F15" s="84" t="str">
        <f>+VLOOKUP(A15,'Estado SCI'!$A$16:$I$59,9,0)</f>
        <v>Mantenimiento del control</v>
      </c>
      <c r="G15" s="84">
        <f>+VLOOKUP(A15,'Estado SCI'!$A$16:$L$59,12,0)</f>
        <v>40.234000000000002</v>
      </c>
      <c r="H15" s="84">
        <f t="shared" si="0"/>
        <v>19</v>
      </c>
      <c r="I15" s="84" t="str">
        <f>+IF(VLOOKUP(A15,'Estado SCI'!$A$16:$G$59,7,0)="","",VLOOKUP(A15,'Estado SCI'!$A$16:$G$59,7,0))</f>
        <v>Si</v>
      </c>
      <c r="J15" s="85">
        <f t="shared" si="2"/>
        <v>1</v>
      </c>
      <c r="K15" s="86">
        <f t="shared" si="1"/>
        <v>0.7</v>
      </c>
    </row>
    <row r="16" spans="1:11" ht="15" customHeight="1" x14ac:dyDescent="0.25">
      <c r="A16" s="84" t="s">
        <v>157</v>
      </c>
      <c r="B16" s="84" t="s">
        <v>60</v>
      </c>
      <c r="C16" s="84" t="s">
        <v>61</v>
      </c>
      <c r="D16" s="84" t="s">
        <v>39</v>
      </c>
      <c r="E16" s="84" t="s">
        <v>158</v>
      </c>
      <c r="F16" s="84" t="str">
        <f>+VLOOKUP(A16,'Estado SCI'!$A$16:$I$59,9,0)</f>
        <v>Mantenimiento del control</v>
      </c>
      <c r="G16" s="84">
        <f>+VLOOKUP(A16,'Estado SCI'!$A$16:$L$59,12,0)</f>
        <v>40.234499999999997</v>
      </c>
      <c r="H16" s="84">
        <f t="shared" si="0"/>
        <v>20</v>
      </c>
      <c r="I16" s="84" t="str">
        <f>+IF(VLOOKUP(A16,'Estado SCI'!$A$16:$G$59,7,0)="","",VLOOKUP(A16,'Estado SCI'!$A$16:$G$59,7,0))</f>
        <v>Si</v>
      </c>
      <c r="J16" s="85">
        <f t="shared" si="2"/>
        <v>1</v>
      </c>
      <c r="K16" s="86">
        <f t="shared" si="1"/>
        <v>0.7</v>
      </c>
    </row>
    <row r="17" spans="1:11" ht="15.75" customHeight="1" x14ac:dyDescent="0.25">
      <c r="A17" s="84" t="s">
        <v>159</v>
      </c>
      <c r="B17" s="84" t="s">
        <v>60</v>
      </c>
      <c r="C17" s="84" t="s">
        <v>61</v>
      </c>
      <c r="D17" s="84" t="s">
        <v>41</v>
      </c>
      <c r="E17" s="84" t="s">
        <v>65</v>
      </c>
      <c r="F17" s="84" t="str">
        <f>+VLOOKUP(A17,'Estado SCI'!$A$16:$I$59,9,0)</f>
        <v>Oportunidad de mejora</v>
      </c>
      <c r="G17" s="84">
        <f>+VLOOKUP(A17,'Estado SCI'!$A$16:$L$59,12,0)</f>
        <v>30.234559999999998</v>
      </c>
      <c r="H17" s="84">
        <f t="shared" si="0"/>
        <v>14</v>
      </c>
      <c r="I17" s="84" t="str">
        <f>+IF(VLOOKUP(A17,'Estado SCI'!$A$16:$G$59,7,0)="","",VLOOKUP(A17,'Estado SCI'!$A$16:$G$59,7,0))</f>
        <v>En proceso</v>
      </c>
      <c r="J17" s="85">
        <f t="shared" si="2"/>
        <v>0.5</v>
      </c>
      <c r="K17" s="86">
        <f t="shared" si="1"/>
        <v>0.7</v>
      </c>
    </row>
    <row r="18" spans="1:11" ht="15" customHeight="1" x14ac:dyDescent="0.25">
      <c r="A18" s="84" t="s">
        <v>160</v>
      </c>
      <c r="B18" s="84" t="s">
        <v>60</v>
      </c>
      <c r="C18" s="84" t="s">
        <v>79</v>
      </c>
      <c r="D18" s="84" t="s">
        <v>34</v>
      </c>
      <c r="E18" s="84" t="s">
        <v>68</v>
      </c>
      <c r="F18" s="84" t="str">
        <f>+VLOOKUP(A18,'Estado SCI'!$A$16:$I$59,9,0)</f>
        <v>Oportunidad de mejora</v>
      </c>
      <c r="G18" s="84">
        <f>+VLOOKUP(A18,'Estado SCI'!$A$16:$L$59,12,0)</f>
        <v>30.234566999999998</v>
      </c>
      <c r="H18" s="84">
        <f t="shared" si="0"/>
        <v>15</v>
      </c>
      <c r="I18" s="84" t="str">
        <f>+IF(VLOOKUP(A18,'Estado SCI'!$A$16:$G$59,7,0)="","",VLOOKUP(A18,'Estado SCI'!$A$16:$G$59,7,0))</f>
        <v>En proceso</v>
      </c>
      <c r="J18" s="85">
        <f t="shared" si="2"/>
        <v>0.5</v>
      </c>
      <c r="K18" s="86">
        <f t="shared" si="1"/>
        <v>0.7</v>
      </c>
    </row>
    <row r="19" spans="1:11" ht="15" customHeight="1" x14ac:dyDescent="0.25">
      <c r="A19" s="84" t="s">
        <v>161</v>
      </c>
      <c r="B19" s="84" t="s">
        <v>60</v>
      </c>
      <c r="C19" s="84" t="s">
        <v>79</v>
      </c>
      <c r="D19" s="84" t="s">
        <v>36</v>
      </c>
      <c r="E19" s="84" t="s">
        <v>69</v>
      </c>
      <c r="F19" s="84" t="str">
        <f>+VLOOKUP(A19,'Estado SCI'!$A$16:$I$59,9,0)</f>
        <v>Oportunidad de mejora</v>
      </c>
      <c r="G19" s="84">
        <f>+VLOOKUP(A19,'Estado SCI'!$A$16:$L$59,12,0)</f>
        <v>30.234567800000001</v>
      </c>
      <c r="H19" s="84">
        <f t="shared" si="0"/>
        <v>16</v>
      </c>
      <c r="I19" s="84" t="str">
        <f>+IF(VLOOKUP(A19,'Estado SCI'!$A$16:$G$59,7,0)="","",VLOOKUP(A19,'Estado SCI'!$A$16:$G$59,7,0))</f>
        <v>En proceso</v>
      </c>
      <c r="J19" s="85">
        <f t="shared" si="2"/>
        <v>0.5</v>
      </c>
      <c r="K19" s="86">
        <f t="shared" si="1"/>
        <v>0.7</v>
      </c>
    </row>
    <row r="20" spans="1:11" ht="15" customHeight="1" x14ac:dyDescent="0.25">
      <c r="A20" s="84" t="s">
        <v>162</v>
      </c>
      <c r="B20" s="84" t="s">
        <v>60</v>
      </c>
      <c r="C20" s="84" t="s">
        <v>79</v>
      </c>
      <c r="D20" s="84" t="s">
        <v>39</v>
      </c>
      <c r="E20" s="84" t="s">
        <v>70</v>
      </c>
      <c r="F20" s="84" t="str">
        <f>+VLOOKUP(A20,'Estado SCI'!$A$16:$I$59,9,0)</f>
        <v>Oportunidad de mejora</v>
      </c>
      <c r="G20" s="84">
        <f>+VLOOKUP(A20,'Estado SCI'!$A$16:$L$59,12,0)</f>
        <v>30.234567890000001</v>
      </c>
      <c r="H20" s="84">
        <f t="shared" si="0"/>
        <v>17</v>
      </c>
      <c r="I20" s="84" t="str">
        <f>+IF(VLOOKUP(A20,'Estado SCI'!$A$16:$G$59,7,0)="","",VLOOKUP(A20,'Estado SCI'!$A$16:$G$59,7,0))</f>
        <v>En proceso</v>
      </c>
      <c r="J20" s="85">
        <f t="shared" si="2"/>
        <v>0.5</v>
      </c>
      <c r="K20" s="86">
        <f t="shared" si="1"/>
        <v>0.7</v>
      </c>
    </row>
    <row r="21" spans="1:11" ht="15.75" customHeight="1" x14ac:dyDescent="0.25">
      <c r="A21" s="84" t="s">
        <v>163</v>
      </c>
      <c r="B21" s="84" t="s">
        <v>60</v>
      </c>
      <c r="C21" s="84" t="s">
        <v>79</v>
      </c>
      <c r="D21" s="84" t="s">
        <v>34</v>
      </c>
      <c r="E21" s="84" t="s">
        <v>73</v>
      </c>
      <c r="F21" s="84" t="str">
        <f>+VLOOKUP(A21,'Estado SCI'!$A$16:$I$59,9,0)</f>
        <v>Mantenimiento del control</v>
      </c>
      <c r="G21" s="84">
        <f>+VLOOKUP(A21,'Estado SCI'!$A$16:$L$59,12,0)</f>
        <v>40.234567891200001</v>
      </c>
      <c r="H21" s="84">
        <f t="shared" si="0"/>
        <v>21</v>
      </c>
      <c r="I21" s="84" t="str">
        <f>+IF(VLOOKUP(A21,'Estado SCI'!$A$16:$G$59,7,0)="","",VLOOKUP(A21,'Estado SCI'!$A$16:$G$59,7,0))</f>
        <v>Si</v>
      </c>
      <c r="J21" s="85">
        <f t="shared" si="2"/>
        <v>1</v>
      </c>
      <c r="K21" s="86">
        <f t="shared" si="1"/>
        <v>0.7</v>
      </c>
    </row>
    <row r="22" spans="1:11" ht="15" customHeight="1" x14ac:dyDescent="0.25">
      <c r="A22" s="84" t="s">
        <v>164</v>
      </c>
      <c r="B22" s="84" t="s">
        <v>60</v>
      </c>
      <c r="C22" s="84" t="s">
        <v>87</v>
      </c>
      <c r="D22" s="84" t="s">
        <v>36</v>
      </c>
      <c r="E22" s="84" t="s">
        <v>74</v>
      </c>
      <c r="F22" s="84" t="str">
        <f>+VLOOKUP(A22,'Estado SCI'!$A$16:$I$59,9,0)</f>
        <v>Mantenimiento del control</v>
      </c>
      <c r="G22" s="84">
        <f>+VLOOKUP(A22,'Estado SCI'!$A$16:$L$59,12,0)</f>
        <v>40.23456789123</v>
      </c>
      <c r="H22" s="84">
        <f t="shared" si="0"/>
        <v>22</v>
      </c>
      <c r="I22" s="84" t="str">
        <f>+IF(VLOOKUP(A22,'Estado SCI'!$A$16:$G$59,7,0)="","",VLOOKUP(A22,'Estado SCI'!$A$16:$G$59,7,0))</f>
        <v>Si</v>
      </c>
      <c r="J22" s="85">
        <f t="shared" si="2"/>
        <v>1</v>
      </c>
      <c r="K22" s="86">
        <f t="shared" si="1"/>
        <v>0.7</v>
      </c>
    </row>
    <row r="23" spans="1:11" ht="15" customHeight="1" x14ac:dyDescent="0.25">
      <c r="A23" s="84" t="s">
        <v>165</v>
      </c>
      <c r="B23" s="84" t="s">
        <v>60</v>
      </c>
      <c r="C23" s="84" t="s">
        <v>87</v>
      </c>
      <c r="D23" s="84" t="s">
        <v>39</v>
      </c>
      <c r="E23" s="84" t="s">
        <v>76</v>
      </c>
      <c r="F23" s="84" t="str">
        <f>+VLOOKUP(A23,'Estado SCI'!$A$16:$I$59,9,0)</f>
        <v>Oportunidad de mejora</v>
      </c>
      <c r="G23" s="84">
        <f>+VLOOKUP(A23,'Estado SCI'!$A$16:$L$59,12,0)</f>
        <v>30.234567891234001</v>
      </c>
      <c r="H23" s="84">
        <f t="shared" si="0"/>
        <v>18</v>
      </c>
      <c r="I23" s="84" t="str">
        <f>+IF(VLOOKUP(A23,'Estado SCI'!$A$16:$G$59,7,0)="","",VLOOKUP(A23,'Estado SCI'!$A$16:$G$59,7,0))</f>
        <v>En proceso</v>
      </c>
      <c r="J23" s="85">
        <f t="shared" si="2"/>
        <v>0.5</v>
      </c>
      <c r="K23" s="86">
        <f t="shared" si="1"/>
        <v>0.7</v>
      </c>
    </row>
    <row r="24" spans="1:11" ht="15" customHeight="1" x14ac:dyDescent="0.25">
      <c r="A24" s="84" t="s">
        <v>166</v>
      </c>
      <c r="B24" s="84" t="str">
        <f>+VLOOKUP(A24,'Estado SCI'!$A$16:$C$59,3,0)</f>
        <v>ACTIVIDADES DE CONTROL</v>
      </c>
      <c r="C24" s="84" t="s">
        <v>87</v>
      </c>
      <c r="D24" s="84" t="s">
        <v>34</v>
      </c>
      <c r="E24" s="84" t="s">
        <v>80</v>
      </c>
      <c r="F24" s="84" t="str">
        <f>+VLOOKUP(A24,'Estado SCI'!$A$16:$I$59,9,0)</f>
        <v>Oportunidad de mejora</v>
      </c>
      <c r="G24" s="84">
        <f>+VLOOKUP(A24,'Estado SCI'!$A$16:$L$59,12,0)</f>
        <v>50.31</v>
      </c>
      <c r="H24" s="84">
        <f t="shared" si="0"/>
        <v>23</v>
      </c>
      <c r="I24" s="84" t="str">
        <f>+IF(VLOOKUP(A24,'Estado SCI'!$A$16:$G$59,7,0)="","",VLOOKUP(A24,'Estado SCI'!$A$16:$G$59,7,0))</f>
        <v>En proceso</v>
      </c>
      <c r="J24" s="85">
        <f t="shared" si="2"/>
        <v>0.5</v>
      </c>
      <c r="K24" s="86">
        <f t="shared" si="1"/>
        <v>0.6</v>
      </c>
    </row>
    <row r="25" spans="1:11" ht="15" customHeight="1" x14ac:dyDescent="0.25">
      <c r="A25" s="84" t="s">
        <v>167</v>
      </c>
      <c r="B25" s="84" t="s">
        <v>78</v>
      </c>
      <c r="C25" s="84" t="s">
        <v>87</v>
      </c>
      <c r="D25" s="84" t="s">
        <v>36</v>
      </c>
      <c r="E25" s="84" t="s">
        <v>81</v>
      </c>
      <c r="F25" s="84" t="str">
        <f>+VLOOKUP(A25,'Estado SCI'!$A$16:$I$59,9,0)</f>
        <v>Oportunidad de mejora</v>
      </c>
      <c r="G25" s="84">
        <f>+VLOOKUP(A25,'Estado SCI'!$A$16:$L$59,12,0)</f>
        <v>50.323</v>
      </c>
      <c r="H25" s="84">
        <f t="shared" si="0"/>
        <v>24</v>
      </c>
      <c r="I25" s="84" t="str">
        <f>+IF(VLOOKUP(A25,'Estado SCI'!$A$16:$G$59,7,0)="","",VLOOKUP(A25,'Estado SCI'!$A$16:$G$59,7,0))</f>
        <v>En proceso</v>
      </c>
      <c r="J25" s="85">
        <f t="shared" si="2"/>
        <v>0.5</v>
      </c>
      <c r="K25" s="86">
        <f t="shared" si="1"/>
        <v>0.6</v>
      </c>
    </row>
    <row r="26" spans="1:11" ht="15" customHeight="1" x14ac:dyDescent="0.25">
      <c r="A26" s="84" t="s">
        <v>168</v>
      </c>
      <c r="B26" s="84" t="s">
        <v>78</v>
      </c>
      <c r="C26" s="84" t="s">
        <v>87</v>
      </c>
      <c r="D26" s="84" t="s">
        <v>39</v>
      </c>
      <c r="E26" s="84" t="s">
        <v>82</v>
      </c>
      <c r="F26" s="84" t="str">
        <f>+VLOOKUP(A26,'Estado SCI'!$A$16:$I$59,9,0)</f>
        <v>Oportunidad de mejora</v>
      </c>
      <c r="G26" s="84">
        <f>+VLOOKUP(A26,'Estado SCI'!$A$16:$L$59,12,0)</f>
        <v>50.323999999999998</v>
      </c>
      <c r="H26" s="84">
        <f t="shared" si="0"/>
        <v>25</v>
      </c>
      <c r="I26" s="84" t="str">
        <f>+IF(VLOOKUP(A26,'Estado SCI'!$A$16:$G$59,7,0)="","",VLOOKUP(A26,'Estado SCI'!$A$16:$G$59,7,0))</f>
        <v>En proceso</v>
      </c>
      <c r="J26" s="85">
        <f t="shared" si="2"/>
        <v>0.5</v>
      </c>
      <c r="K26" s="86">
        <f t="shared" si="1"/>
        <v>0.6</v>
      </c>
    </row>
    <row r="27" spans="1:11" ht="15.75" customHeight="1" x14ac:dyDescent="0.25">
      <c r="A27" s="84" t="s">
        <v>169</v>
      </c>
      <c r="B27" s="84" t="s">
        <v>78</v>
      </c>
      <c r="C27" s="84" t="s">
        <v>87</v>
      </c>
      <c r="D27" s="84" t="s">
        <v>41</v>
      </c>
      <c r="E27" s="84" t="s">
        <v>83</v>
      </c>
      <c r="F27" s="84" t="str">
        <f>+VLOOKUP(A27,'Estado SCI'!$A$16:$I$59,9,0)</f>
        <v>Oportunidad de mejora</v>
      </c>
      <c r="G27" s="84">
        <f>+VLOOKUP(A27,'Estado SCI'!$A$16:$L$59,12,0)</f>
        <v>50.325000000000003</v>
      </c>
      <c r="H27" s="84">
        <f t="shared" si="0"/>
        <v>26</v>
      </c>
      <c r="I27" s="84" t="str">
        <f>+IF(VLOOKUP(A27,'Estado SCI'!$A$16:$G$59,7,0)="","",VLOOKUP(A27,'Estado SCI'!$A$16:$G$59,7,0))</f>
        <v>En proceso</v>
      </c>
      <c r="J27" s="85">
        <f t="shared" si="2"/>
        <v>0.5</v>
      </c>
      <c r="K27" s="86">
        <f t="shared" si="1"/>
        <v>0.6</v>
      </c>
    </row>
    <row r="28" spans="1:11" ht="15" customHeight="1" x14ac:dyDescent="0.25">
      <c r="A28" s="84" t="s">
        <v>170</v>
      </c>
      <c r="B28" s="84" t="s">
        <v>78</v>
      </c>
      <c r="C28" s="84" t="s">
        <v>97</v>
      </c>
      <c r="D28" s="84" t="s">
        <v>43</v>
      </c>
      <c r="E28" s="84" t="s">
        <v>84</v>
      </c>
      <c r="F28" s="84" t="str">
        <f>+VLOOKUP(A28,'Estado SCI'!$A$16:$I$59,9,0)</f>
        <v>Mantenimiento del control</v>
      </c>
      <c r="G28" s="84">
        <f>+VLOOKUP(A28,'Estado SCI'!$A$16:$L$59,12,0)</f>
        <v>60.326000000000001</v>
      </c>
      <c r="H28" s="84">
        <f t="shared" si="0"/>
        <v>27</v>
      </c>
      <c r="I28" s="84" t="str">
        <f>+IF(VLOOKUP(A28,'Estado SCI'!$A$16:$G$59,7,0)="","",VLOOKUP(A28,'Estado SCI'!$A$16:$G$59,7,0))</f>
        <v>Si</v>
      </c>
      <c r="J28" s="85">
        <f t="shared" si="2"/>
        <v>1</v>
      </c>
      <c r="K28" s="86">
        <f t="shared" si="1"/>
        <v>0.6</v>
      </c>
    </row>
    <row r="29" spans="1:11" ht="15" customHeight="1" x14ac:dyDescent="0.25">
      <c r="A29" s="84" t="s">
        <v>171</v>
      </c>
      <c r="B29" s="84" t="str">
        <f>+VLOOKUP(A29,'Estado SCI'!$A$16:$C$59,3,0)</f>
        <v>INFORMACION Y COMUNICACIÓN</v>
      </c>
      <c r="C29" s="84" t="s">
        <v>97</v>
      </c>
      <c r="D29" s="84" t="s">
        <v>34</v>
      </c>
      <c r="E29" s="84" t="s">
        <v>88</v>
      </c>
      <c r="F29" s="84" t="str">
        <f>+VLOOKUP(A29,'Estado SCI'!$A$16:$I$59,9,0)</f>
        <v>Oportunidad de mejora</v>
      </c>
      <c r="G29" s="84">
        <f>+VLOOKUP(A29,'Estado SCI'!$A$16:$L$59,12,0)</f>
        <v>70.412000000000006</v>
      </c>
      <c r="H29" s="84">
        <f t="shared" si="0"/>
        <v>28</v>
      </c>
      <c r="I29" s="84" t="str">
        <f>+IF(VLOOKUP(A29,'Estado SCI'!$A$16:$G$59,7,0)="","",VLOOKUP(A29,'Estado SCI'!$A$16:$G$59,7,0))</f>
        <v>En proceso</v>
      </c>
      <c r="J29" s="85">
        <f t="shared" si="2"/>
        <v>0.5</v>
      </c>
      <c r="K29" s="86">
        <f t="shared" si="1"/>
        <v>0.8571428571428571</v>
      </c>
    </row>
    <row r="30" spans="1:11" ht="15" customHeight="1" x14ac:dyDescent="0.25">
      <c r="A30" s="84" t="s">
        <v>172</v>
      </c>
      <c r="B30" s="84" t="s">
        <v>86</v>
      </c>
      <c r="C30" s="84" t="s">
        <v>97</v>
      </c>
      <c r="D30" s="84" t="s">
        <v>36</v>
      </c>
      <c r="E30" s="84" t="s">
        <v>89</v>
      </c>
      <c r="F30" s="84" t="str">
        <f>+VLOOKUP(A30,'Estado SCI'!$A$16:$I$59,9,0)</f>
        <v>Mantenimiento del control</v>
      </c>
      <c r="G30" s="84">
        <f>+VLOOKUP(A30,'Estado SCI'!$A$16:$L$59,12,0)</f>
        <v>80.412300000000002</v>
      </c>
      <c r="H30" s="84">
        <f t="shared" si="0"/>
        <v>30</v>
      </c>
      <c r="I30" s="84" t="str">
        <f>+IF(VLOOKUP(A30,'Estado SCI'!$A$16:$G$59,7,0)="","",VLOOKUP(A30,'Estado SCI'!$A$16:$G$59,7,0))</f>
        <v>Si</v>
      </c>
      <c r="J30" s="85">
        <f t="shared" si="2"/>
        <v>1</v>
      </c>
      <c r="K30" s="86">
        <f t="shared" si="1"/>
        <v>0.8571428571428571</v>
      </c>
    </row>
    <row r="31" spans="1:11" ht="15.75" customHeight="1" x14ac:dyDescent="0.25">
      <c r="A31" s="84" t="s">
        <v>173</v>
      </c>
      <c r="B31" s="84" t="s">
        <v>86</v>
      </c>
      <c r="C31" s="84" t="s">
        <v>97</v>
      </c>
      <c r="D31" s="84" t="s">
        <v>39</v>
      </c>
      <c r="E31" s="84" t="s">
        <v>90</v>
      </c>
      <c r="F31" s="84" t="str">
        <f>+VLOOKUP(A31,'Estado SCI'!$A$16:$I$59,9,0)</f>
        <v>Mantenimiento del control</v>
      </c>
      <c r="G31" s="84">
        <f>+VLOOKUP(A31,'Estado SCI'!$A$16:$L$59,12,0)</f>
        <v>80.41234</v>
      </c>
      <c r="H31" s="84">
        <f t="shared" si="0"/>
        <v>31</v>
      </c>
      <c r="I31" s="84" t="str">
        <f>+IF(VLOOKUP(A31,'Estado SCI'!$A$16:$G$59,7,0)="","",VLOOKUP(A31,'Estado SCI'!$A$16:$G$59,7,0))</f>
        <v>Si</v>
      </c>
      <c r="J31" s="85">
        <f t="shared" si="2"/>
        <v>1</v>
      </c>
      <c r="K31" s="86">
        <f t="shared" si="1"/>
        <v>0.8571428571428571</v>
      </c>
    </row>
    <row r="32" spans="1:11" x14ac:dyDescent="0.25">
      <c r="A32" s="84" t="s">
        <v>174</v>
      </c>
      <c r="B32" s="84" t="s">
        <v>86</v>
      </c>
      <c r="C32" s="84" t="s">
        <v>103</v>
      </c>
      <c r="D32" s="84" t="s">
        <v>41</v>
      </c>
      <c r="E32" s="84" t="s">
        <v>91</v>
      </c>
      <c r="F32" s="84" t="str">
        <f>+VLOOKUP(A32,'Estado SCI'!$A$16:$I$59,9,0)</f>
        <v>Mantenimiento del control</v>
      </c>
      <c r="G32" s="84">
        <f>+VLOOKUP(A32,'Estado SCI'!$A$16:$L$59,12,0)</f>
        <v>80.412345000000002</v>
      </c>
      <c r="H32" s="84">
        <f t="shared" si="0"/>
        <v>32</v>
      </c>
      <c r="I32" s="84" t="str">
        <f>+IF(VLOOKUP(A32,'Estado SCI'!$A$16:$G$59,7,0)="","",VLOOKUP(A32,'Estado SCI'!$A$16:$G$59,7,0))</f>
        <v>Si</v>
      </c>
      <c r="J32" s="85">
        <f t="shared" si="2"/>
        <v>1</v>
      </c>
      <c r="K32" s="86">
        <f t="shared" si="1"/>
        <v>0.8571428571428571</v>
      </c>
    </row>
    <row r="33" spans="1:11" x14ac:dyDescent="0.25">
      <c r="A33" s="84" t="s">
        <v>175</v>
      </c>
      <c r="B33" s="84" t="s">
        <v>86</v>
      </c>
      <c r="C33" s="84" t="s">
        <v>176</v>
      </c>
      <c r="D33" s="84" t="s">
        <v>43</v>
      </c>
      <c r="E33" s="84" t="s">
        <v>92</v>
      </c>
      <c r="F33" s="84" t="str">
        <f>+VLOOKUP(A33,'Estado SCI'!$A$16:$I$59,9,0)</f>
        <v>Mantenimiento del control</v>
      </c>
      <c r="G33" s="84">
        <f>+VLOOKUP(A33,'Estado SCI'!$A$16:$L$59,12,0)</f>
        <v>80.412345599999995</v>
      </c>
      <c r="H33" s="84">
        <f t="shared" si="0"/>
        <v>33</v>
      </c>
      <c r="I33" s="84" t="str">
        <f>+IF(VLOOKUP(A33,'Estado SCI'!$A$16:$G$59,7,0)="","",VLOOKUP(A33,'Estado SCI'!$A$16:$G$59,7,0))</f>
        <v>Si</v>
      </c>
      <c r="J33" s="85">
        <f t="shared" si="2"/>
        <v>1</v>
      </c>
      <c r="K33" s="86">
        <f t="shared" si="1"/>
        <v>0.8571428571428571</v>
      </c>
    </row>
    <row r="34" spans="1:11" x14ac:dyDescent="0.25">
      <c r="A34" s="84" t="s">
        <v>177</v>
      </c>
      <c r="B34" s="84" t="s">
        <v>86</v>
      </c>
      <c r="C34" s="84" t="s">
        <v>176</v>
      </c>
      <c r="D34" s="84" t="s">
        <v>45</v>
      </c>
      <c r="E34" s="84" t="s">
        <v>93</v>
      </c>
      <c r="F34" s="84" t="str">
        <f>+VLOOKUP(A34,'Estado SCI'!$A$16:$I$59,9,0)</f>
        <v>Mantenimiento del control</v>
      </c>
      <c r="G34" s="84">
        <f>+VLOOKUP(A34,'Estado SCI'!$A$16:$L$59,12,0)</f>
        <v>80.412345669999993</v>
      </c>
      <c r="H34" s="84">
        <f t="shared" si="0"/>
        <v>34</v>
      </c>
      <c r="I34" s="84" t="str">
        <f>+IF(VLOOKUP(A34,'Estado SCI'!$A$16:$G$59,7,0)="","",VLOOKUP(A34,'Estado SCI'!$A$16:$G$59,7,0))</f>
        <v>Si</v>
      </c>
      <c r="J34" s="85">
        <f t="shared" si="2"/>
        <v>1</v>
      </c>
      <c r="K34" s="86">
        <f t="shared" si="1"/>
        <v>0.8571428571428571</v>
      </c>
    </row>
    <row r="35" spans="1:11" x14ac:dyDescent="0.25">
      <c r="A35" s="84" t="s">
        <v>178</v>
      </c>
      <c r="B35" s="84" t="s">
        <v>86</v>
      </c>
      <c r="C35" s="84" t="s">
        <v>176</v>
      </c>
      <c r="D35" s="84" t="s">
        <v>47</v>
      </c>
      <c r="E35" s="84" t="s">
        <v>94</v>
      </c>
      <c r="F35" s="84" t="str">
        <f>+VLOOKUP(A35,'Estado SCI'!$A$16:$I$59,9,0)</f>
        <v>Oportunidad de mejora</v>
      </c>
      <c r="G35" s="84">
        <f>+VLOOKUP(A35,'Estado SCI'!$A$16:$L$59,12,0)</f>
        <v>70.412345677999994</v>
      </c>
      <c r="H35" s="84">
        <f t="shared" si="0"/>
        <v>29</v>
      </c>
      <c r="I35" s="84" t="str">
        <f>+IF(VLOOKUP(A35,'Estado SCI'!$A$16:$G$59,7,0)="","",VLOOKUP(A35,'Estado SCI'!$A$16:$G$59,7,0))</f>
        <v>En proceso</v>
      </c>
      <c r="J35" s="85">
        <f t="shared" si="2"/>
        <v>0.5</v>
      </c>
      <c r="K35" s="86">
        <f t="shared" si="1"/>
        <v>0.8571428571428571</v>
      </c>
    </row>
    <row r="36" spans="1:11" x14ac:dyDescent="0.25">
      <c r="A36" s="84" t="s">
        <v>179</v>
      </c>
      <c r="B36" s="84" t="str">
        <f>+VLOOKUP(A36,'Estado SCI'!$A$16:$C$59,3,0)</f>
        <v>ACTIVIDADES DE MONITOREO</v>
      </c>
      <c r="C36" s="84" t="s">
        <v>176</v>
      </c>
      <c r="D36" s="84" t="s">
        <v>34</v>
      </c>
      <c r="E36" s="84" t="s">
        <v>98</v>
      </c>
      <c r="F36" s="84" t="str">
        <f>+VLOOKUP(A36,'Estado SCI'!$A$16:$I$59,9,0)</f>
        <v>Oportunidad de mejora</v>
      </c>
      <c r="G36" s="84">
        <f>+VLOOKUP(A36,'Estado SCI'!$A$16:$L$59,12,0)</f>
        <v>100.851</v>
      </c>
      <c r="H36" s="84">
        <f t="shared" si="0"/>
        <v>35</v>
      </c>
      <c r="I36" s="84" t="str">
        <f>+IF(VLOOKUP(A36,'Estado SCI'!$A$16:$G$59,7,0)="","",VLOOKUP(A36,'Estado SCI'!$A$16:$G$59,7,0))</f>
        <v>En proceso</v>
      </c>
      <c r="J36" s="85">
        <f t="shared" si="2"/>
        <v>0.5</v>
      </c>
      <c r="K36" s="86">
        <f t="shared" si="1"/>
        <v>0.65</v>
      </c>
    </row>
    <row r="37" spans="1:11" x14ac:dyDescent="0.25">
      <c r="A37" s="84" t="s">
        <v>180</v>
      </c>
      <c r="B37" s="84" t="s">
        <v>96</v>
      </c>
      <c r="C37" s="84" t="s">
        <v>176</v>
      </c>
      <c r="D37" s="84" t="s">
        <v>41</v>
      </c>
      <c r="E37" s="84" t="s">
        <v>99</v>
      </c>
      <c r="F37" s="84" t="str">
        <f>+VLOOKUP(A37,'Estado SCI'!$A$16:$I$59,9,0)</f>
        <v>Oportunidad de mejora</v>
      </c>
      <c r="G37" s="84">
        <f>+VLOOKUP(A37,'Estado SCI'!$A$16:$L$59,12,0)</f>
        <v>100.85120000000001</v>
      </c>
      <c r="H37" s="84">
        <f t="shared" si="0"/>
        <v>36</v>
      </c>
      <c r="I37" s="84" t="str">
        <f>+IF(VLOOKUP(A37,'Estado SCI'!$A$16:$G$59,7,0)="","",VLOOKUP(A37,'Estado SCI'!$A$16:$G$59,7,0))</f>
        <v>En proceso</v>
      </c>
      <c r="J37" s="85">
        <f t="shared" si="2"/>
        <v>0.5</v>
      </c>
      <c r="K37" s="86">
        <f t="shared" si="1"/>
        <v>0.65</v>
      </c>
    </row>
    <row r="38" spans="1:11" x14ac:dyDescent="0.25">
      <c r="A38" s="84" t="s">
        <v>181</v>
      </c>
      <c r="B38" s="84" t="s">
        <v>96</v>
      </c>
      <c r="C38" s="84" t="s">
        <v>67</v>
      </c>
      <c r="D38" s="84" t="s">
        <v>45</v>
      </c>
      <c r="E38" s="84" t="s">
        <v>100</v>
      </c>
      <c r="F38" s="84" t="str">
        <f>+VLOOKUP(A38,'Estado SCI'!$A$16:$I$59,9,0)</f>
        <v>Oportunidad de mejora</v>
      </c>
      <c r="G38" s="84">
        <f>+VLOOKUP(A38,'Estado SCI'!$A$16:$L$59,12,0)</f>
        <v>100.85123</v>
      </c>
      <c r="H38" s="84">
        <f t="shared" si="0"/>
        <v>37</v>
      </c>
      <c r="I38" s="84" t="str">
        <f>+IF(VLOOKUP(A38,'Estado SCI'!$A$16:$G$59,7,0)="","",VLOOKUP(A38,'Estado SCI'!$A$16:$G$59,7,0))</f>
        <v>En proceso</v>
      </c>
      <c r="J38" s="85">
        <f t="shared" si="2"/>
        <v>0.5</v>
      </c>
      <c r="K38" s="86">
        <f t="shared" si="1"/>
        <v>0.65</v>
      </c>
    </row>
    <row r="39" spans="1:11" x14ac:dyDescent="0.25">
      <c r="A39" s="84" t="s">
        <v>182</v>
      </c>
      <c r="B39" s="84" t="s">
        <v>96</v>
      </c>
      <c r="C39" s="84" t="s">
        <v>67</v>
      </c>
      <c r="D39" s="84" t="s">
        <v>47</v>
      </c>
      <c r="E39" s="84" t="s">
        <v>101</v>
      </c>
      <c r="F39" s="84" t="str">
        <f>+VLOOKUP(A39,'Estado SCI'!$A$16:$I$59,9,0)</f>
        <v>Mantenimiento del control</v>
      </c>
      <c r="G39" s="84">
        <f>+VLOOKUP(A39,'Estado SCI'!$A$16:$L$59,12,0)</f>
        <v>120.85123400000001</v>
      </c>
      <c r="H39" s="84">
        <f t="shared" si="0"/>
        <v>42</v>
      </c>
      <c r="I39" s="84" t="str">
        <f>+IF(VLOOKUP(A39,'Estado SCI'!$A$16:$G$59,7,0)="","",VLOOKUP(A39,'Estado SCI'!$A$16:$G$59,7,0))</f>
        <v>Si</v>
      </c>
      <c r="J39" s="85">
        <f t="shared" si="2"/>
        <v>1</v>
      </c>
      <c r="K39" s="86">
        <f t="shared" si="1"/>
        <v>0.65</v>
      </c>
    </row>
    <row r="40" spans="1:11" x14ac:dyDescent="0.25">
      <c r="A40" s="84" t="s">
        <v>183</v>
      </c>
      <c r="B40" s="84" t="s">
        <v>96</v>
      </c>
      <c r="C40" s="84" t="s">
        <v>67</v>
      </c>
      <c r="D40" s="84" t="s">
        <v>49</v>
      </c>
      <c r="E40" s="84" t="s">
        <v>104</v>
      </c>
      <c r="F40" s="84" t="str">
        <f>+VLOOKUP(A40,'Estado SCI'!$A$16:$I$59,9,0)</f>
        <v>Mantenimiento del control</v>
      </c>
      <c r="G40" s="84">
        <f>+VLOOKUP(A40,'Estado SCI'!$A$16:$L$59,12,0)</f>
        <v>120.8512345</v>
      </c>
      <c r="H40" s="84">
        <f t="shared" si="0"/>
        <v>43</v>
      </c>
      <c r="I40" s="84" t="str">
        <f>+IF(VLOOKUP(A40,'Estado SCI'!$A$16:$G$59,7,0)="","",VLOOKUP(A40,'Estado SCI'!$A$16:$G$59,7,0))</f>
        <v>Si</v>
      </c>
      <c r="J40" s="85">
        <f t="shared" si="2"/>
        <v>1</v>
      </c>
      <c r="K40" s="86">
        <f t="shared" si="1"/>
        <v>0.65</v>
      </c>
    </row>
    <row r="41" spans="1:11" x14ac:dyDescent="0.25">
      <c r="A41" s="84" t="s">
        <v>184</v>
      </c>
      <c r="B41" s="84" t="s">
        <v>96</v>
      </c>
      <c r="C41" s="84" t="s">
        <v>67</v>
      </c>
      <c r="D41" s="84" t="s">
        <v>34</v>
      </c>
      <c r="E41" s="84" t="s">
        <v>107</v>
      </c>
      <c r="F41" s="84" t="str">
        <f>+VLOOKUP(A41,'Estado SCI'!$A$16:$I$59,9,0)</f>
        <v>Oportunidad de mejora</v>
      </c>
      <c r="G41" s="84">
        <f>+VLOOKUP(A41,'Estado SCI'!$A$16:$L$59,12,0)</f>
        <v>100.85123455999999</v>
      </c>
      <c r="H41" s="84">
        <f t="shared" si="0"/>
        <v>38</v>
      </c>
      <c r="I41" s="84" t="str">
        <f>+IF(VLOOKUP(A41,'Estado SCI'!$A$16:$G$59,7,0)="","",VLOOKUP(A41,'Estado SCI'!$A$16:$G$59,7,0))</f>
        <v>En proceso</v>
      </c>
      <c r="J41" s="85">
        <f t="shared" si="2"/>
        <v>0.5</v>
      </c>
      <c r="K41" s="86">
        <f t="shared" si="1"/>
        <v>0.65</v>
      </c>
    </row>
    <row r="42" spans="1:11" x14ac:dyDescent="0.25">
      <c r="A42" s="84" t="s">
        <v>185</v>
      </c>
      <c r="B42" s="84" t="s">
        <v>96</v>
      </c>
      <c r="C42" s="84" t="s">
        <v>72</v>
      </c>
      <c r="D42" s="84" t="s">
        <v>36</v>
      </c>
      <c r="E42" s="84" t="s">
        <v>108</v>
      </c>
      <c r="F42" s="84" t="str">
        <f>+VLOOKUP(A42,'Estado SCI'!$A$16:$I$59,9,0)</f>
        <v>Oportunidad de mejora</v>
      </c>
      <c r="G42" s="84">
        <f>+VLOOKUP(A42,'Estado SCI'!$A$16:$L$59,12,0)</f>
        <v>100.85123456700001</v>
      </c>
      <c r="H42" s="84">
        <f t="shared" si="0"/>
        <v>39</v>
      </c>
      <c r="I42" s="84" t="str">
        <f>+IF(VLOOKUP(A42,'Estado SCI'!$A$16:$G$59,7,0)="","",VLOOKUP(A42,'Estado SCI'!$A$16:$G$59,7,0))</f>
        <v>En proceso</v>
      </c>
      <c r="J42" s="85">
        <f t="shared" si="2"/>
        <v>0.5</v>
      </c>
      <c r="K42" s="86">
        <f t="shared" si="1"/>
        <v>0.65</v>
      </c>
    </row>
    <row r="43" spans="1:11" x14ac:dyDescent="0.25">
      <c r="A43" s="84" t="s">
        <v>186</v>
      </c>
      <c r="B43" s="84" t="s">
        <v>96</v>
      </c>
      <c r="C43" s="84" t="s">
        <v>72</v>
      </c>
      <c r="D43" s="84" t="s">
        <v>39</v>
      </c>
      <c r="E43" s="84" t="s">
        <v>109</v>
      </c>
      <c r="F43" s="84" t="str">
        <f>+VLOOKUP(A43,'Estado SCI'!$A$16:$I$59,9,0)</f>
        <v>Oportunidad de mejora</v>
      </c>
      <c r="G43" s="84">
        <f>+VLOOKUP(A43,'Estado SCI'!$A$16:$L$59,12,0)</f>
        <v>100.85123456780001</v>
      </c>
      <c r="H43" s="84">
        <f t="shared" si="0"/>
        <v>40</v>
      </c>
      <c r="I43" s="84" t="str">
        <f>+IF(VLOOKUP(A43,'Estado SCI'!$A$16:$G$59,7,0)="","",VLOOKUP(A43,'Estado SCI'!$A$16:$G$59,7,0))</f>
        <v>En proceso</v>
      </c>
      <c r="J43" s="85">
        <f t="shared" si="2"/>
        <v>0.5</v>
      </c>
      <c r="K43" s="86">
        <f t="shared" si="1"/>
        <v>0.65</v>
      </c>
    </row>
    <row r="44" spans="1:11" x14ac:dyDescent="0.25">
      <c r="A44" s="84" t="s">
        <v>187</v>
      </c>
      <c r="B44" s="84" t="s">
        <v>96</v>
      </c>
      <c r="C44" s="84" t="s">
        <v>72</v>
      </c>
      <c r="D44" s="84" t="s">
        <v>41</v>
      </c>
      <c r="E44" s="84" t="s">
        <v>110</v>
      </c>
      <c r="F44" s="84" t="str">
        <f>+VLOOKUP(A44,'Estado SCI'!$A$16:$I$59,9,0)</f>
        <v>Oportunidad de mejora</v>
      </c>
      <c r="G44" s="84">
        <f>+VLOOKUP(A44,'Estado SCI'!$A$16:$L$59,12,0)</f>
        <v>100.85123456789</v>
      </c>
      <c r="H44" s="84">
        <f t="shared" si="0"/>
        <v>41</v>
      </c>
      <c r="I44" s="84" t="str">
        <f>+IF(VLOOKUP(A44,'Estado SCI'!$A$16:$G$59,7,0)="","",VLOOKUP(A44,'Estado SCI'!$A$16:$G$59,7,0))</f>
        <v>En proceso</v>
      </c>
      <c r="J44" s="85">
        <f t="shared" si="2"/>
        <v>0.5</v>
      </c>
      <c r="K44" s="86">
        <f t="shared" si="1"/>
        <v>0.65</v>
      </c>
    </row>
    <row r="45" spans="1:11" x14ac:dyDescent="0.25">
      <c r="A45" s="84" t="s">
        <v>188</v>
      </c>
      <c r="B45" s="84" t="s">
        <v>96</v>
      </c>
      <c r="C45" s="84" t="s">
        <v>72</v>
      </c>
      <c r="D45" s="84" t="s">
        <v>43</v>
      </c>
      <c r="E45" s="84" t="s">
        <v>111</v>
      </c>
      <c r="F45" s="84" t="str">
        <f>+VLOOKUP(A45,'Estado SCI'!$A$16:$I$59,9,0)</f>
        <v>Mantenimiento del control</v>
      </c>
      <c r="G45" s="84">
        <f>+VLOOKUP(A45,'Estado SCI'!$A$16:$L$59,12,0)</f>
        <v>120.851234567891</v>
      </c>
      <c r="H45" s="84">
        <f t="shared" si="0"/>
        <v>44</v>
      </c>
      <c r="I45" s="84" t="str">
        <f>+IF(VLOOKUP(A45,'Estado SCI'!$A$16:$G$59,7,0)="","",VLOOKUP(A45,'Estado SCI'!$A$16:$G$59,7,0))</f>
        <v>Si</v>
      </c>
      <c r="J45" s="85">
        <f t="shared" si="2"/>
        <v>1</v>
      </c>
      <c r="K45" s="86">
        <f t="shared" si="1"/>
        <v>0.65</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Instructivo</vt:lpstr>
      <vt:lpstr>Estado SCI</vt:lpstr>
      <vt:lpstr>Análisis Resultados</vt:lpstr>
      <vt:lpstr>Conclusión</vt:lpstr>
      <vt:lpstr>Hoja1</vt:lpstr>
      <vt:lpstr>'Estado SCI'!Área_de_impresión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Nelson Reina</cp:lastModifiedBy>
  <cp:revision/>
  <cp:lastPrinted>2020-07-31T03:33:41Z</cp:lastPrinted>
  <dcterms:created xsi:type="dcterms:W3CDTF">2020-04-28T13:58:09Z</dcterms:created>
  <dcterms:modified xsi:type="dcterms:W3CDTF">2020-07-31T03:34:29Z</dcterms:modified>
  <cp:category/>
  <cp:contentStatus/>
</cp:coreProperties>
</file>